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bristolvt-my.sharepoint.com/personal/townadmin_bristolvt_org/Documents/Selectboard/Meeting Packets/2023/2023-05-22/"/>
    </mc:Choice>
  </mc:AlternateContent>
  <xr:revisionPtr revIDLastSave="0" documentId="8_{2E7BED18-94AA-4740-97FA-F3A2146F6065}" xr6:coauthVersionLast="47" xr6:coauthVersionMax="47" xr10:uidLastSave="{00000000-0000-0000-0000-000000000000}"/>
  <bookViews>
    <workbookView xWindow="-110" yWindow="-110" windowWidth="19420" windowHeight="10420" xr2:uid="{33CF5243-2182-45F1-9069-AD08F8990F37}"/>
  </bookViews>
  <sheets>
    <sheet name="FY2023-FY2024" sheetId="9" r:id="rId1"/>
    <sheet name="FY2022-FY2023" sheetId="8" r:id="rId2"/>
    <sheet name="FY2021-FY2022" sheetId="7" r:id="rId3"/>
    <sheet name="FY22 Approved" sheetId="5" r:id="rId4"/>
    <sheet name="FY2020-FY2021" sheetId="2" r:id="rId5"/>
    <sheet name="FY2018-FY2020" sheetId="6" r:id="rId6"/>
    <sheet name="FY2017-FY2019" sheetId="4" r:id="rId7"/>
    <sheet name="FY2016-FY2018" sheetId="3" r:id="rId8"/>
  </sheets>
  <externalReferences>
    <externalReference r:id="rId9"/>
  </externalReferences>
  <definedNames>
    <definedName name="_xlnm.Print_Area" localSheetId="6">'FY2017-FY2019'!$C$2:$I$29</definedName>
    <definedName name="_xlnm.Print_Area" localSheetId="5">'FY2018-FY2020'!$C$2:$I$29</definedName>
    <definedName name="_xlnm.Print_Area" localSheetId="4">'FY2020-FY2021'!$C$2:$H$31</definedName>
    <definedName name="_xlnm.Print_Area" localSheetId="2">'FY2021-FY2022'!$C$2:$H$31</definedName>
    <definedName name="_xlnm.Print_Area" localSheetId="1">'FY2022-FY2023'!$C$2:$H$32</definedName>
    <definedName name="_xlnm.Print_Area" localSheetId="0">'FY2023-FY2024'!$C$2:$R$31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9" l="1"/>
  <c r="K26" i="9"/>
  <c r="K25" i="9"/>
  <c r="K24" i="9"/>
  <c r="K23" i="9"/>
  <c r="K22" i="9"/>
  <c r="K21" i="9"/>
  <c r="K20" i="9"/>
  <c r="K18" i="9"/>
  <c r="K17" i="9"/>
  <c r="K16" i="9"/>
  <c r="K15" i="9"/>
  <c r="K14" i="9"/>
  <c r="K7" i="9"/>
  <c r="L24" i="9" l="1"/>
  <c r="M24" i="9" s="1"/>
  <c r="O7" i="9"/>
  <c r="P7" i="9" s="1"/>
  <c r="Q7" i="9" s="1"/>
  <c r="M7" i="9"/>
  <c r="J28" i="9"/>
  <c r="H28" i="9"/>
  <c r="G28" i="9"/>
  <c r="G29" i="9" s="1"/>
  <c r="F28" i="9"/>
  <c r="M26" i="9"/>
  <c r="M25" i="9"/>
  <c r="M23" i="9"/>
  <c r="M22" i="9"/>
  <c r="M21" i="9"/>
  <c r="M20" i="9"/>
  <c r="I19" i="9"/>
  <c r="M18" i="9"/>
  <c r="M17" i="9"/>
  <c r="M16" i="9"/>
  <c r="M15" i="9"/>
  <c r="L14" i="9"/>
  <c r="M14" i="9" s="1"/>
  <c r="L10" i="9"/>
  <c r="J10" i="9"/>
  <c r="I10" i="9"/>
  <c r="H10" i="9"/>
  <c r="G10" i="9"/>
  <c r="G11" i="9" s="1"/>
  <c r="F10" i="9"/>
  <c r="E10" i="9"/>
  <c r="P7" i="8"/>
  <c r="O7" i="8"/>
  <c r="N7" i="8"/>
  <c r="L21" i="8"/>
  <c r="L27" i="8"/>
  <c r="L26" i="8"/>
  <c r="L25" i="8"/>
  <c r="L24" i="8"/>
  <c r="L23" i="8"/>
  <c r="L22" i="8"/>
  <c r="L19" i="8"/>
  <c r="L18" i="8"/>
  <c r="L17" i="8"/>
  <c r="L16" i="8"/>
  <c r="L15" i="8"/>
  <c r="L14" i="8"/>
  <c r="L7" i="8"/>
  <c r="I30" i="8"/>
  <c r="G30" i="8"/>
  <c r="M7" i="8"/>
  <c r="J29" i="8"/>
  <c r="K14" i="8"/>
  <c r="K10" i="8"/>
  <c r="J10" i="8"/>
  <c r="I19" i="8"/>
  <c r="I29" i="8" s="1"/>
  <c r="L11" i="9" l="1"/>
  <c r="K10" i="9"/>
  <c r="L19" i="9"/>
  <c r="M19" i="9" s="1"/>
  <c r="K19" i="9"/>
  <c r="I11" i="9"/>
  <c r="L28" i="9"/>
  <c r="I28" i="9"/>
  <c r="I29" i="9" s="1"/>
  <c r="K19" i="8"/>
  <c r="I10" i="8"/>
  <c r="K11" i="8" s="1"/>
  <c r="H29" i="8"/>
  <c r="G29" i="8"/>
  <c r="F29" i="8"/>
  <c r="H10" i="8"/>
  <c r="G10" i="8"/>
  <c r="G11" i="8" s="1"/>
  <c r="F10" i="8"/>
  <c r="E10" i="8"/>
  <c r="E10" i="7"/>
  <c r="G28" i="7"/>
  <c r="G29" i="7"/>
  <c r="H28" i="7"/>
  <c r="F28" i="7"/>
  <c r="G10" i="7"/>
  <c r="G11" i="7"/>
  <c r="H10" i="7"/>
  <c r="F10" i="7"/>
  <c r="E10" i="6"/>
  <c r="F10" i="6"/>
  <c r="G10" i="6"/>
  <c r="H10" i="6"/>
  <c r="I10" i="6"/>
  <c r="G11" i="6"/>
  <c r="I11" i="6"/>
  <c r="E15" i="6"/>
  <c r="E17" i="6"/>
  <c r="E18" i="6"/>
  <c r="E19" i="6"/>
  <c r="I19" i="6"/>
  <c r="I21" i="6"/>
  <c r="I28" i="6" s="1"/>
  <c r="I29" i="6" s="1"/>
  <c r="E24" i="6"/>
  <c r="G24" i="6"/>
  <c r="I24" i="6"/>
  <c r="E28" i="6"/>
  <c r="F28" i="6"/>
  <c r="G28" i="6"/>
  <c r="H28" i="6"/>
  <c r="G29" i="6"/>
  <c r="G24" i="5"/>
  <c r="C24" i="5"/>
  <c r="H24" i="5"/>
  <c r="D24" i="5"/>
  <c r="E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G7" i="5"/>
  <c r="C7" i="5"/>
  <c r="H7" i="5"/>
  <c r="D7" i="5"/>
  <c r="E7" i="5"/>
  <c r="H6" i="5"/>
  <c r="H5" i="5"/>
  <c r="I17" i="4"/>
  <c r="I24" i="4"/>
  <c r="I28" i="4"/>
  <c r="I10" i="4"/>
  <c r="I31" i="4"/>
  <c r="G15" i="4"/>
  <c r="G17" i="4"/>
  <c r="G18" i="4"/>
  <c r="G19" i="4"/>
  <c r="G24" i="4"/>
  <c r="G28" i="4"/>
  <c r="I29" i="4"/>
  <c r="E15" i="4"/>
  <c r="E16" i="4"/>
  <c r="E28" i="4"/>
  <c r="G29" i="4"/>
  <c r="H28" i="4"/>
  <c r="F28" i="4"/>
  <c r="J27" i="4"/>
  <c r="J26" i="4"/>
  <c r="J25" i="4"/>
  <c r="J24" i="4"/>
  <c r="J23" i="4"/>
  <c r="J22" i="4"/>
  <c r="J21" i="4"/>
  <c r="J20" i="4"/>
  <c r="N19" i="4"/>
  <c r="J19" i="4"/>
  <c r="J18" i="4"/>
  <c r="J17" i="4"/>
  <c r="J16" i="4"/>
  <c r="J15" i="4"/>
  <c r="J14" i="4"/>
  <c r="G10" i="4"/>
  <c r="I11" i="4"/>
  <c r="E10" i="4"/>
  <c r="G11" i="4"/>
  <c r="H10" i="4"/>
  <c r="F10" i="4"/>
  <c r="J8" i="4"/>
  <c r="J7" i="4"/>
  <c r="F16" i="3"/>
  <c r="F18" i="3"/>
  <c r="F19" i="3"/>
  <c r="F21" i="3"/>
  <c r="F24" i="3"/>
  <c r="F30" i="3"/>
  <c r="E30" i="3"/>
  <c r="D18" i="3"/>
  <c r="D20" i="3"/>
  <c r="D30" i="3"/>
  <c r="C30" i="3"/>
  <c r="B18" i="3"/>
  <c r="B19" i="3"/>
  <c r="B30" i="3"/>
  <c r="F7" i="3"/>
  <c r="F11" i="3"/>
  <c r="E11" i="3"/>
  <c r="D11" i="3"/>
  <c r="C11" i="3"/>
  <c r="B11" i="3"/>
  <c r="G28" i="2"/>
  <c r="G29" i="2"/>
  <c r="H28" i="2"/>
  <c r="F28" i="2"/>
  <c r="G10" i="2"/>
  <c r="G11" i="2"/>
  <c r="H10" i="2"/>
  <c r="F10" i="2"/>
  <c r="K28" i="9" l="1"/>
  <c r="L29" i="9"/>
  <c r="K29" i="8"/>
  <c r="K30" i="8" s="1"/>
  <c r="I11" i="8"/>
</calcChain>
</file>

<file path=xl/sharedStrings.xml><?xml version="1.0" encoding="utf-8"?>
<sst xmlns="http://schemas.openxmlformats.org/spreadsheetml/2006/main" count="439" uniqueCount="129">
  <si>
    <t>2019-2020</t>
  </si>
  <si>
    <t>ACTUAL</t>
  </si>
  <si>
    <t>BUDGET</t>
  </si>
  <si>
    <t>080-00-5</t>
  </si>
  <si>
    <t>REVENUES</t>
  </si>
  <si>
    <t>080-00-5-00-00.01</t>
  </si>
  <si>
    <t>User Fees</t>
  </si>
  <si>
    <t>080-00-5-00-00.02</t>
  </si>
  <si>
    <t>Interest &amp; Penalty Charges</t>
  </si>
  <si>
    <t>080-00-5-00-95.00</t>
  </si>
  <si>
    <t>Misc. &amp; Allocation Revenue</t>
  </si>
  <si>
    <t>TOTAL REVENUES</t>
  </si>
  <si>
    <t>EXPENSES</t>
  </si>
  <si>
    <t>080-00-6-06-10.02</t>
  </si>
  <si>
    <t>Admin/Clerical Salaries</t>
  </si>
  <si>
    <t>080-00-6-06-12.00</t>
  </si>
  <si>
    <t>FICA/Medicare</t>
  </si>
  <si>
    <t>080-00-6-06-14.00</t>
  </si>
  <si>
    <t>Health Insurance</t>
  </si>
  <si>
    <t>080-00-6-06-15.00</t>
  </si>
  <si>
    <t>Retirement</t>
  </si>
  <si>
    <t>080-00-6-06-18.00</t>
  </si>
  <si>
    <t>Disability Insurance</t>
  </si>
  <si>
    <t>080-00-6-06-34.00</t>
  </si>
  <si>
    <t>Operating Contract</t>
  </si>
  <si>
    <t>080-00-6-31-00.00</t>
  </si>
  <si>
    <t>Supplies</t>
  </si>
  <si>
    <t>080-00-6-31-80.00</t>
  </si>
  <si>
    <t>Insurance</t>
  </si>
  <si>
    <t>080-00-6-31-89.00</t>
  </si>
  <si>
    <t>Debt Retirement</t>
  </si>
  <si>
    <t>080-00-6-31-90.00</t>
  </si>
  <si>
    <t>Capital Reserve Fund</t>
  </si>
  <si>
    <t>080-00-6-31-96.01</t>
  </si>
  <si>
    <t>Maintenance &amp; Septic Tank</t>
  </si>
  <si>
    <t>080-00-6-31-96.02</t>
  </si>
  <si>
    <t>Testing</t>
  </si>
  <si>
    <t>080-00-6-45-02.00</t>
  </si>
  <si>
    <t>Engineering</t>
  </si>
  <si>
    <t>080-00-6-45-95.00</t>
  </si>
  <si>
    <t>Miscellaneous</t>
  </si>
  <si>
    <t>TOTAL EXPENSES</t>
  </si>
  <si>
    <t>SEWER DISTRICT BUDGET</t>
  </si>
  <si>
    <t>The proposed FY2022 Sewer District budget will be presented, reviewed, and voted on at the annual Sewer District meeting at the end of May or early June 2021.</t>
  </si>
  <si>
    <t>2020-2021</t>
  </si>
  <si>
    <t>thru 12/31/2020</t>
  </si>
  <si>
    <t>Draft</t>
  </si>
  <si>
    <t>Sewer District Budget</t>
  </si>
  <si>
    <t>2015-2016</t>
  </si>
  <si>
    <t>2016-2017</t>
  </si>
  <si>
    <t>2017-2018</t>
  </si>
  <si>
    <t>As of 1/17</t>
  </si>
  <si>
    <t>proposed</t>
  </si>
  <si>
    <t xml:space="preserve">   User Fees</t>
  </si>
  <si>
    <t xml:space="preserve">   Interest &amp; Penalty Charges</t>
  </si>
  <si>
    <t xml:space="preserve">   Interest</t>
  </si>
  <si>
    <t xml:space="preserve">   Misc. &amp; Allocation Revenue</t>
  </si>
  <si>
    <t>EXPENDITURES</t>
  </si>
  <si>
    <t xml:space="preserve">   Labor</t>
  </si>
  <si>
    <t xml:space="preserve">   Operating Contract</t>
  </si>
  <si>
    <t xml:space="preserve">   Admin/Clerical Salaries</t>
  </si>
  <si>
    <t xml:space="preserve">   FICA/Medicare</t>
  </si>
  <si>
    <t xml:space="preserve">   Retirement</t>
  </si>
  <si>
    <t xml:space="preserve">   Health Insurance</t>
  </si>
  <si>
    <t xml:space="preserve">   Disability Insurance</t>
  </si>
  <si>
    <t xml:space="preserve">   Supplies</t>
  </si>
  <si>
    <t xml:space="preserve">   Insurance</t>
  </si>
  <si>
    <t xml:space="preserve">   Maintenance &amp; Septic Tank</t>
  </si>
  <si>
    <t xml:space="preserve">   Testing</t>
  </si>
  <si>
    <t xml:space="preserve">   Engineering</t>
  </si>
  <si>
    <t xml:space="preserve">   Debt Retirement</t>
  </si>
  <si>
    <t xml:space="preserve">  Capital Reserve Fund</t>
  </si>
  <si>
    <t xml:space="preserve">   Miscellaneous</t>
  </si>
  <si>
    <t>TOTAL EXPENDITURES</t>
  </si>
  <si>
    <t>2018-2019</t>
  </si>
  <si>
    <t>as of 12/31/17</t>
  </si>
  <si>
    <t>PROPOSED</t>
  </si>
  <si>
    <t>12.5% of VTUMS base contract</t>
  </si>
  <si>
    <t>BRISTOL CORE SEWER SYSYEM APPROVED FY2022 BUDGET</t>
  </si>
  <si>
    <t>2021 Budget</t>
  </si>
  <si>
    <t>2021 Actual</t>
  </si>
  <si>
    <t>% of Budget</t>
  </si>
  <si>
    <t>2022 Approved</t>
  </si>
  <si>
    <t>% Change</t>
  </si>
  <si>
    <t>080-00-5-00-00.01 User fees</t>
  </si>
  <si>
    <t>%</t>
  </si>
  <si>
    <t>080-00-5-00-00.02 Interest &amp; Penalty Revenue</t>
  </si>
  <si>
    <t>2021 Proposed</t>
  </si>
  <si>
    <t>2020 Actual</t>
  </si>
  <si>
    <t>2022 Proposed</t>
  </si>
  <si>
    <t>080-00-6-06-10.02 Administrative</t>
  </si>
  <si>
    <t>080-00-6-06-12.00 FICA</t>
  </si>
  <si>
    <t>080-00-6-06-14.00 Health Insurance</t>
  </si>
  <si>
    <t>080-00-6-06-15.00 State Retirement</t>
  </si>
  <si>
    <t>080-00-6-06-18.00 Disability Insurance</t>
  </si>
  <si>
    <t>080-00-6-06-34.00 Operating Contract</t>
  </si>
  <si>
    <t>080-00-6-31-00.00 Supplies</t>
  </si>
  <si>
    <t>080-00-6-31-80.00 Insurance</t>
  </si>
  <si>
    <t>080-00-6-31-89.00 Bond Payments</t>
  </si>
  <si>
    <t>080-00-6-31-90.00 Capital Fund Appropriatio</t>
  </si>
  <si>
    <t>080-00-6-31-96.01 Maint. and Septic Tank</t>
  </si>
  <si>
    <t>080-00-6-31-96.02 Lab Testing</t>
  </si>
  <si>
    <t>080-00-6-45-02.00 Engineering</t>
  </si>
  <si>
    <t>Current Balance in Capital Sewer:  $27,365</t>
  </si>
  <si>
    <t>Current Minimum Use bill:  $173.28</t>
  </si>
  <si>
    <t>as of 12/31/18</t>
  </si>
  <si>
    <t>thru 12/31/2021</t>
  </si>
  <si>
    <t>2021-2022</t>
  </si>
  <si>
    <t>The proposed FY2023 Sewer District budget will be presented, reviewed, and voted on at the annual Sewer District meeting at the end of May or early June 2022.</t>
  </si>
  <si>
    <t>2022-2023</t>
  </si>
  <si>
    <t xml:space="preserve">Percent </t>
  </si>
  <si>
    <t>Change</t>
  </si>
  <si>
    <t>Avg Mo x 12</t>
  </si>
  <si>
    <t>Avg Mo (Actual/9)</t>
  </si>
  <si>
    <t>2023-2024</t>
  </si>
  <si>
    <t>thru 4/30/23</t>
  </si>
  <si>
    <t>Depreciation</t>
  </si>
  <si>
    <t>Propose 26.5% Increase in Billing Rates to Bring this One Flush</t>
  </si>
  <si>
    <t>Annual Shortage</t>
  </si>
  <si>
    <t>Need to Increase %</t>
  </si>
  <si>
    <t>This includes a 26.5% increase in billing rates based on the estimated 12 months to get closer to this year's budget in real revenues</t>
  </si>
  <si>
    <t>Something is in this line that goes elsewhere.</t>
  </si>
  <si>
    <t>The proposed FY2024 Sewer District budget will be presented, reviewed, and voted on at the annual Sewer District meeting at the end of May or early June 2023.</t>
  </si>
  <si>
    <t>Percent</t>
  </si>
  <si>
    <t>Thru Year</t>
  </si>
  <si>
    <t>includes septic field site clearing &amp; splitter box major repair</t>
  </si>
  <si>
    <t xml:space="preserve">Will be short by about $14,000 at end of year </t>
  </si>
  <si>
    <t xml:space="preserve">Identify high strength users   10 out of 32 </t>
  </si>
  <si>
    <t>$15,000 / 10  users / 4 quarters = $375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</si>
</sst>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u/>
      <sz val="10"/>
      <name val="Times New Roman"/>
      <family val="1"/>
    </font>
    <font>
      <sz val="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14" fontId="5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1" fillId="0" borderId="1" xfId="1" applyBorder="1"/>
    <xf numFmtId="0" fontId="7" fillId="0" borderId="1" xfId="1" applyFont="1" applyBorder="1"/>
    <xf numFmtId="0" fontId="4" fillId="0" borderId="1" xfId="1" applyFont="1" applyBorder="1"/>
    <xf numFmtId="37" fontId="4" fillId="0" borderId="0" xfId="1" applyNumberFormat="1" applyFont="1"/>
    <xf numFmtId="37" fontId="4" fillId="0" borderId="1" xfId="1" applyNumberFormat="1" applyFont="1" applyBorder="1"/>
    <xf numFmtId="37" fontId="5" fillId="0" borderId="1" xfId="1" applyNumberFormat="1" applyFont="1" applyBorder="1"/>
    <xf numFmtId="0" fontId="8" fillId="0" borderId="0" xfId="1" applyFont="1"/>
    <xf numFmtId="164" fontId="6" fillId="0" borderId="0" xfId="1" applyNumberFormat="1" applyFont="1"/>
    <xf numFmtId="164" fontId="9" fillId="0" borderId="0" xfId="1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37" fontId="4" fillId="0" borderId="0" xfId="0" applyNumberFormat="1" applyFont="1"/>
    <xf numFmtId="37" fontId="5" fillId="0" borderId="0" xfId="0" applyNumberFormat="1" applyFont="1"/>
    <xf numFmtId="37" fontId="12" fillId="0" borderId="0" xfId="0" applyNumberFormat="1" applyFont="1"/>
    <xf numFmtId="37" fontId="13" fillId="0" borderId="0" xfId="0" applyNumberFormat="1" applyFont="1"/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4" fillId="0" borderId="1" xfId="0" applyFont="1" applyBorder="1"/>
    <xf numFmtId="164" fontId="4" fillId="0" borderId="2" xfId="0" applyNumberFormat="1" applyFont="1" applyBorder="1"/>
    <xf numFmtId="164" fontId="4" fillId="0" borderId="0" xfId="0" applyNumberFormat="1" applyFont="1"/>
    <xf numFmtId="37" fontId="5" fillId="0" borderId="1" xfId="0" applyNumberFormat="1" applyFont="1" applyBorder="1"/>
    <xf numFmtId="37" fontId="4" fillId="0" borderId="1" xfId="0" applyNumberFormat="1" applyFont="1" applyBorder="1"/>
    <xf numFmtId="10" fontId="6" fillId="0" borderId="0" xfId="0" applyNumberFormat="1" applyFont="1"/>
    <xf numFmtId="0" fontId="9" fillId="0" borderId="0" xfId="0" applyFont="1"/>
    <xf numFmtId="37" fontId="0" fillId="0" borderId="0" xfId="0" applyNumberFormat="1"/>
    <xf numFmtId="0" fontId="14" fillId="0" borderId="3" xfId="0" applyFont="1" applyBorder="1"/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5" xfId="0" applyFont="1" applyBorder="1"/>
    <xf numFmtId="0" fontId="0" fillId="0" borderId="6" xfId="0" applyBorder="1"/>
    <xf numFmtId="44" fontId="0" fillId="0" borderId="7" xfId="0" applyNumberFormat="1" applyBorder="1"/>
    <xf numFmtId="2" fontId="0" fillId="0" borderId="6" xfId="0" applyNumberFormat="1" applyBorder="1"/>
    <xf numFmtId="0" fontId="0" fillId="0" borderId="8" xfId="0" applyBorder="1"/>
    <xf numFmtId="0" fontId="0" fillId="0" borderId="9" xfId="0" applyBorder="1"/>
    <xf numFmtId="44" fontId="0" fillId="0" borderId="10" xfId="0" applyNumberFormat="1" applyBorder="1"/>
    <xf numFmtId="2" fontId="0" fillId="0" borderId="9" xfId="0" applyNumberFormat="1" applyBorder="1"/>
    <xf numFmtId="0" fontId="0" fillId="0" borderId="11" xfId="0" applyBorder="1"/>
    <xf numFmtId="0" fontId="0" fillId="0" borderId="12" xfId="0" applyBorder="1"/>
    <xf numFmtId="44" fontId="0" fillId="0" borderId="13" xfId="0" applyNumberFormat="1" applyBorder="1"/>
    <xf numFmtId="2" fontId="0" fillId="0" borderId="12" xfId="0" applyNumberFormat="1" applyBorder="1"/>
    <xf numFmtId="0" fontId="0" fillId="0" borderId="14" xfId="0" applyBorder="1"/>
    <xf numFmtId="44" fontId="0" fillId="0" borderId="0" xfId="0" applyNumberFormat="1"/>
    <xf numFmtId="2" fontId="0" fillId="0" borderId="0" xfId="0" applyNumberFormat="1"/>
    <xf numFmtId="0" fontId="0" fillId="0" borderId="15" xfId="0" applyBorder="1"/>
    <xf numFmtId="44" fontId="0" fillId="0" borderId="15" xfId="0" applyNumberFormat="1" applyBorder="1"/>
    <xf numFmtId="2" fontId="0" fillId="0" borderId="15" xfId="0" applyNumberFormat="1" applyBorder="1"/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7" xfId="0" applyBorder="1"/>
    <xf numFmtId="0" fontId="0" fillId="0" borderId="10" xfId="0" applyBorder="1"/>
    <xf numFmtId="44" fontId="0" fillId="0" borderId="9" xfId="0" applyNumberFormat="1" applyBorder="1"/>
    <xf numFmtId="44" fontId="0" fillId="0" borderId="16" xfId="0" applyNumberFormat="1" applyBorder="1"/>
    <xf numFmtId="0" fontId="0" fillId="0" borderId="17" xfId="0" applyBorder="1"/>
    <xf numFmtId="44" fontId="0" fillId="0" borderId="18" xfId="0" applyNumberFormat="1" applyBorder="1"/>
    <xf numFmtId="2" fontId="0" fillId="0" borderId="17" xfId="0" applyNumberFormat="1" applyBorder="1"/>
    <xf numFmtId="0" fontId="0" fillId="0" borderId="19" xfId="0" applyBorder="1"/>
    <xf numFmtId="44" fontId="0" fillId="0" borderId="12" xfId="0" applyNumberFormat="1" applyBorder="1"/>
    <xf numFmtId="37" fontId="1" fillId="0" borderId="0" xfId="1" applyNumberFormat="1"/>
    <xf numFmtId="10" fontId="6" fillId="0" borderId="0" xfId="1" applyNumberFormat="1" applyFont="1"/>
    <xf numFmtId="0" fontId="9" fillId="0" borderId="0" xfId="1" applyFont="1"/>
    <xf numFmtId="0" fontId="16" fillId="0" borderId="0" xfId="1" applyFont="1" applyAlignment="1">
      <alignment horizontal="center"/>
    </xf>
    <xf numFmtId="164" fontId="6" fillId="2" borderId="0" xfId="1" applyNumberFormat="1" applyFont="1" applyFill="1"/>
    <xf numFmtId="37" fontId="4" fillId="3" borderId="0" xfId="1" applyNumberFormat="1" applyFont="1" applyFill="1"/>
    <xf numFmtId="0" fontId="6" fillId="4" borderId="0" xfId="1" applyFont="1" applyFill="1" applyAlignment="1">
      <alignment horizontal="center"/>
    </xf>
    <xf numFmtId="37" fontId="5" fillId="4" borderId="1" xfId="1" applyNumberFormat="1" applyFont="1" applyFill="1" applyBorder="1"/>
    <xf numFmtId="0" fontId="4" fillId="4" borderId="0" xfId="1" applyFont="1" applyFill="1"/>
    <xf numFmtId="37" fontId="4" fillId="4" borderId="0" xfId="1" applyNumberFormat="1" applyFont="1" applyFill="1"/>
    <xf numFmtId="0" fontId="1" fillId="4" borderId="1" xfId="1" applyFill="1" applyBorder="1" applyAlignment="1">
      <alignment horizontal="center"/>
    </xf>
    <xf numFmtId="1" fontId="1" fillId="4" borderId="0" xfId="2" applyNumberFormat="1" applyFill="1"/>
    <xf numFmtId="0" fontId="1" fillId="5" borderId="1" xfId="1" applyFill="1" applyBorder="1" applyAlignment="1">
      <alignment horizontal="center"/>
    </xf>
    <xf numFmtId="1" fontId="1" fillId="5" borderId="0" xfId="2" applyNumberFormat="1" applyFill="1"/>
    <xf numFmtId="0" fontId="1" fillId="6" borderId="1" xfId="1" applyFill="1" applyBorder="1"/>
    <xf numFmtId="39" fontId="1" fillId="6" borderId="0" xfId="1" applyNumberFormat="1" applyFill="1"/>
    <xf numFmtId="0" fontId="1" fillId="7" borderId="1" xfId="1" applyFill="1" applyBorder="1"/>
    <xf numFmtId="0" fontId="1" fillId="7" borderId="0" xfId="1" applyFill="1"/>
    <xf numFmtId="14" fontId="6" fillId="0" borderId="0" xfId="1" applyNumberFormat="1" applyFont="1" applyAlignment="1">
      <alignment horizontal="center"/>
    </xf>
    <xf numFmtId="37" fontId="4" fillId="8" borderId="0" xfId="1" applyNumberFormat="1" applyFont="1" applyFill="1"/>
    <xf numFmtId="0" fontId="1" fillId="8" borderId="0" xfId="1" applyFill="1"/>
    <xf numFmtId="10" fontId="6" fillId="0" borderId="1" xfId="1" quotePrefix="1" applyNumberFormat="1" applyFont="1" applyBorder="1" applyAlignment="1">
      <alignment horizontal="center"/>
    </xf>
    <xf numFmtId="10" fontId="4" fillId="0" borderId="0" xfId="3" applyNumberFormat="1" applyFont="1" applyFill="1"/>
    <xf numFmtId="10" fontId="5" fillId="0" borderId="1" xfId="1" applyNumberFormat="1" applyFont="1" applyBorder="1"/>
    <xf numFmtId="0" fontId="0" fillId="0" borderId="0" xfId="1" applyFont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1" fillId="2" borderId="20" xfId="1" applyFont="1" applyFill="1" applyBorder="1" applyAlignment="1">
      <alignment horizontal="center" wrapText="1"/>
    </xf>
    <xf numFmtId="0" fontId="11" fillId="2" borderId="15" xfId="1" applyFont="1" applyFill="1" applyBorder="1" applyAlignment="1">
      <alignment horizontal="center" wrapText="1"/>
    </xf>
    <xf numFmtId="41" fontId="10" fillId="0" borderId="0" xfId="1" applyNumberFormat="1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Comma [0] 3" xfId="3" xr:uid="{DBEE56CD-E52E-43A5-A54B-5E4C500C20D8}"/>
    <cellStyle name="Currency" xfId="2" builtinId="4"/>
    <cellStyle name="Normal" xfId="0" builtinId="0"/>
    <cellStyle name="Normal 2 3" xfId="1" xr:uid="{796A569E-9EB3-44CD-99D0-5EBAB7BF0E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townadmin_bristolvt_org/Documents/Budget/2019-2020/Bristol_General_Fund_Budget_FY2020_2019-01-28_DRAFT_JMnotes_VC_SB_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Fund Budget"/>
      <sheetName val="Graphics"/>
      <sheetName val="Warning math"/>
      <sheetName val="Personnel"/>
      <sheetName val="Personnel 2%"/>
      <sheetName val="Personnel 3%"/>
      <sheetName val="Health Ins"/>
      <sheetName val="VLCT PACIF"/>
      <sheetName val="Water"/>
      <sheetName val="Sewer"/>
      <sheetName val="FY19 Water"/>
      <sheetName val="Salaries"/>
      <sheetName val="scenarios"/>
      <sheetName val="Bristol Bu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">
          <cell r="M14">
            <v>213.19239613200651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7F003-E8EB-2749-9DEB-F963954DB827}">
  <sheetPr>
    <pageSetUpPr fitToPage="1"/>
  </sheetPr>
  <dimension ref="B2:R35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5" sqref="L35"/>
    </sheetView>
  </sheetViews>
  <sheetFormatPr defaultColWidth="9.1796875" defaultRowHeight="14.5" x14ac:dyDescent="0.35"/>
  <cols>
    <col min="1" max="1" width="2.6328125" style="1" customWidth="1"/>
    <col min="2" max="2" width="23.36328125" style="1" hidden="1" customWidth="1"/>
    <col min="3" max="3" width="2.453125" style="1" customWidth="1"/>
    <col min="4" max="4" width="22.81640625" style="1" customWidth="1"/>
    <col min="5" max="10" width="14.453125" style="1" customWidth="1"/>
    <col min="11" max="11" width="12.26953125" style="1" customWidth="1"/>
    <col min="12" max="12" width="14.453125" style="1" customWidth="1"/>
    <col min="13" max="13" width="11.453125" style="1" customWidth="1"/>
    <col min="14" max="14" width="14.453125" style="1" customWidth="1"/>
    <col min="15" max="15" width="11.1796875" style="1" customWidth="1"/>
    <col min="16" max="16" width="13.453125" style="1" customWidth="1"/>
    <col min="17" max="17" width="15.6328125" style="1" customWidth="1"/>
    <col min="18" max="16384" width="9.1796875" style="1"/>
  </cols>
  <sheetData>
    <row r="2" spans="2:18" ht="15.5" x14ac:dyDescent="0.35">
      <c r="C2" s="99" t="s">
        <v>42</v>
      </c>
      <c r="D2" s="100"/>
      <c r="E2" s="100"/>
      <c r="F2" s="100"/>
      <c r="G2" s="100"/>
      <c r="H2" s="100"/>
    </row>
    <row r="3" spans="2:18" x14ac:dyDescent="0.35">
      <c r="D3" s="2"/>
      <c r="E3" s="3"/>
      <c r="F3" s="3"/>
      <c r="G3" s="3"/>
      <c r="H3" s="4" t="s">
        <v>107</v>
      </c>
      <c r="J3" s="4" t="s">
        <v>109</v>
      </c>
      <c r="K3" s="4"/>
    </row>
    <row r="4" spans="2:18" x14ac:dyDescent="0.35">
      <c r="D4" s="2"/>
      <c r="E4" s="4" t="s">
        <v>44</v>
      </c>
      <c r="F4" s="4" t="s">
        <v>44</v>
      </c>
      <c r="G4" s="4" t="s">
        <v>107</v>
      </c>
      <c r="H4" s="4" t="s">
        <v>1</v>
      </c>
      <c r="I4" s="4" t="s">
        <v>109</v>
      </c>
      <c r="J4" s="4" t="s">
        <v>1</v>
      </c>
      <c r="K4" s="4" t="s">
        <v>123</v>
      </c>
      <c r="L4" s="4" t="s">
        <v>114</v>
      </c>
      <c r="M4" s="77" t="s">
        <v>110</v>
      </c>
    </row>
    <row r="5" spans="2:18" ht="12.75" customHeight="1" x14ac:dyDescent="0.35">
      <c r="D5" s="3"/>
      <c r="E5" s="5" t="s">
        <v>2</v>
      </c>
      <c r="F5" s="4" t="s">
        <v>1</v>
      </c>
      <c r="G5" s="5" t="s">
        <v>2</v>
      </c>
      <c r="H5" s="92">
        <v>44742</v>
      </c>
      <c r="I5" s="5" t="s">
        <v>2</v>
      </c>
      <c r="J5" s="80" t="s">
        <v>115</v>
      </c>
      <c r="K5" s="6" t="s">
        <v>124</v>
      </c>
      <c r="L5" s="5" t="s">
        <v>2</v>
      </c>
      <c r="M5" s="77" t="s">
        <v>111</v>
      </c>
    </row>
    <row r="6" spans="2:18" s="7" customFormat="1" ht="12.75" customHeight="1" x14ac:dyDescent="0.35">
      <c r="B6" s="7" t="s">
        <v>3</v>
      </c>
      <c r="C6" s="8" t="s">
        <v>4</v>
      </c>
      <c r="E6" s="9"/>
      <c r="F6" s="9"/>
      <c r="G6" s="9"/>
      <c r="H6" s="9"/>
      <c r="I6" s="9"/>
      <c r="J6" s="95">
        <v>0.83299999999999996</v>
      </c>
      <c r="K6" s="95"/>
      <c r="L6" s="9"/>
      <c r="N6" s="84" t="s">
        <v>113</v>
      </c>
      <c r="O6" s="86" t="s">
        <v>112</v>
      </c>
      <c r="P6" s="88" t="s">
        <v>118</v>
      </c>
      <c r="Q6" s="90" t="s">
        <v>119</v>
      </c>
    </row>
    <row r="7" spans="2:18" ht="12.75" customHeight="1" x14ac:dyDescent="0.35">
      <c r="B7" s="1" t="s">
        <v>5</v>
      </c>
      <c r="D7" s="3" t="s">
        <v>6</v>
      </c>
      <c r="E7" s="10">
        <v>55460</v>
      </c>
      <c r="F7" s="10">
        <v>49763.08</v>
      </c>
      <c r="G7" s="10">
        <v>55460</v>
      </c>
      <c r="H7" s="10">
        <v>52587.08</v>
      </c>
      <c r="I7" s="79">
        <v>56847</v>
      </c>
      <c r="J7" s="10">
        <v>35563.56</v>
      </c>
      <c r="K7" s="96">
        <f>+J7/I7</f>
        <v>0.62560135099477543</v>
      </c>
      <c r="L7" s="79">
        <v>60000</v>
      </c>
      <c r="M7" s="30">
        <f>SUM(L7-I7)/I7</f>
        <v>5.5464668320227978E-2</v>
      </c>
      <c r="N7" s="85">
        <f>+J7/9</f>
        <v>3951.5066666666662</v>
      </c>
      <c r="O7" s="87">
        <f>+N7*12</f>
        <v>47418.079999999994</v>
      </c>
      <c r="P7" s="89">
        <f>+L7-O7</f>
        <v>12581.920000000006</v>
      </c>
      <c r="Q7" s="91">
        <f>+P7/O7</f>
        <v>0.26534014030091491</v>
      </c>
    </row>
    <row r="8" spans="2:18" ht="12.75" customHeight="1" x14ac:dyDescent="0.35">
      <c r="B8" s="1" t="s">
        <v>7</v>
      </c>
      <c r="D8" s="3" t="s">
        <v>8</v>
      </c>
      <c r="E8" s="10">
        <v>200</v>
      </c>
      <c r="F8" s="10">
        <v>0</v>
      </c>
      <c r="G8" s="10">
        <v>200</v>
      </c>
      <c r="H8" s="10">
        <v>181.23</v>
      </c>
      <c r="I8" s="10">
        <v>0</v>
      </c>
      <c r="J8" s="10">
        <v>0</v>
      </c>
      <c r="K8" s="10"/>
      <c r="L8" s="10">
        <v>100</v>
      </c>
      <c r="M8" s="30">
        <v>0</v>
      </c>
      <c r="N8" s="91" t="s">
        <v>117</v>
      </c>
      <c r="O8" s="91"/>
      <c r="P8" s="91"/>
      <c r="Q8" s="91"/>
      <c r="R8" s="91"/>
    </row>
    <row r="9" spans="2:18" ht="12.75" customHeight="1" x14ac:dyDescent="0.35">
      <c r="B9" s="1" t="s">
        <v>9</v>
      </c>
      <c r="D9" s="3" t="s">
        <v>10</v>
      </c>
      <c r="E9" s="10">
        <v>0</v>
      </c>
      <c r="F9" s="10">
        <v>0</v>
      </c>
      <c r="G9" s="10">
        <v>0</v>
      </c>
      <c r="H9" s="10">
        <v>0</v>
      </c>
      <c r="I9" s="10"/>
      <c r="J9" s="10">
        <v>0</v>
      </c>
      <c r="K9" s="10"/>
      <c r="L9" s="10"/>
      <c r="M9" s="31"/>
    </row>
    <row r="10" spans="2:18" s="7" customFormat="1" ht="12.75" customHeight="1" x14ac:dyDescent="0.35">
      <c r="C10" s="8" t="s">
        <v>11</v>
      </c>
      <c r="E10" s="12">
        <f t="shared" ref="E10" si="0">SUM(E7:E9)</f>
        <v>55660</v>
      </c>
      <c r="F10" s="12">
        <f t="shared" ref="F10:L10" si="1">SUM(F7:F9)</f>
        <v>49763.08</v>
      </c>
      <c r="G10" s="12">
        <f t="shared" si="1"/>
        <v>55660</v>
      </c>
      <c r="H10" s="12">
        <f t="shared" si="1"/>
        <v>52768.310000000005</v>
      </c>
      <c r="I10" s="12">
        <f t="shared" si="1"/>
        <v>56847</v>
      </c>
      <c r="J10" s="12">
        <f t="shared" si="1"/>
        <v>35563.56</v>
      </c>
      <c r="K10" s="97">
        <f>+J10/I10</f>
        <v>0.62560135099477543</v>
      </c>
      <c r="L10" s="12">
        <f t="shared" si="1"/>
        <v>60100</v>
      </c>
    </row>
    <row r="11" spans="2:18" ht="12.75" customHeight="1" x14ac:dyDescent="0.35">
      <c r="D11" s="13"/>
      <c r="E11" s="14">
        <v>0</v>
      </c>
      <c r="F11" s="14"/>
      <c r="G11" s="14">
        <f>SUM(G10-E10)/E10</f>
        <v>0</v>
      </c>
      <c r="H11" s="15"/>
      <c r="I11" s="78">
        <f>SUM(I10-G10)/G10</f>
        <v>2.1325907294286742E-2</v>
      </c>
      <c r="J11" s="15"/>
      <c r="K11" s="15"/>
      <c r="L11" s="78">
        <f>SUM(L10-I10)/I10</f>
        <v>5.7223776100761695E-2</v>
      </c>
      <c r="M11" s="101" t="s">
        <v>120</v>
      </c>
      <c r="N11" s="101"/>
      <c r="O11" s="101"/>
    </row>
    <row r="12" spans="2:18" ht="50" customHeight="1" x14ac:dyDescent="0.35">
      <c r="D12" s="13"/>
      <c r="E12" s="3"/>
      <c r="F12" s="3"/>
      <c r="G12" s="3"/>
      <c r="H12" s="3"/>
      <c r="I12" s="3"/>
      <c r="J12" s="3"/>
      <c r="K12" s="3"/>
      <c r="L12" s="3"/>
      <c r="M12" s="102"/>
      <c r="N12" s="102"/>
      <c r="O12" s="102"/>
    </row>
    <row r="13" spans="2:18" s="7" customFormat="1" ht="12.75" customHeight="1" x14ac:dyDescent="0.35">
      <c r="C13" s="8" t="s">
        <v>12</v>
      </c>
      <c r="E13" s="9"/>
      <c r="F13" s="9"/>
      <c r="G13" s="9"/>
      <c r="H13" s="9"/>
      <c r="I13" s="9"/>
      <c r="J13" s="9"/>
      <c r="K13" s="9"/>
      <c r="L13" s="9"/>
    </row>
    <row r="14" spans="2:18" ht="12.75" customHeight="1" x14ac:dyDescent="0.35">
      <c r="B14" s="1" t="s">
        <v>13</v>
      </c>
      <c r="D14" s="3" t="s">
        <v>14</v>
      </c>
      <c r="E14" s="10">
        <v>3000</v>
      </c>
      <c r="F14" s="10">
        <v>2395.0300000000002</v>
      </c>
      <c r="G14" s="10">
        <v>3000</v>
      </c>
      <c r="H14" s="10">
        <v>2625.7</v>
      </c>
      <c r="I14" s="10">
        <v>1500</v>
      </c>
      <c r="J14" s="10">
        <v>2747.45</v>
      </c>
      <c r="K14" s="96">
        <f t="shared" ref="K14:K26" si="2">+J14/I14</f>
        <v>1.8316333333333332</v>
      </c>
      <c r="L14" s="10">
        <f>1874-319</f>
        <v>1555</v>
      </c>
      <c r="M14" s="30">
        <f t="shared" ref="M14:M26" si="3">SUM(L14-I14)/I14</f>
        <v>3.6666666666666667E-2</v>
      </c>
    </row>
    <row r="15" spans="2:18" ht="12.75" customHeight="1" x14ac:dyDescent="0.35">
      <c r="B15" s="1" t="s">
        <v>15</v>
      </c>
      <c r="D15" s="3" t="s">
        <v>16</v>
      </c>
      <c r="E15" s="10">
        <v>233</v>
      </c>
      <c r="F15" s="10">
        <v>169.55</v>
      </c>
      <c r="G15" s="10">
        <v>233</v>
      </c>
      <c r="H15" s="10">
        <v>186.16</v>
      </c>
      <c r="I15" s="10">
        <v>117</v>
      </c>
      <c r="J15" s="10">
        <v>193.97</v>
      </c>
      <c r="K15" s="96">
        <f t="shared" si="2"/>
        <v>1.6578632478632478</v>
      </c>
      <c r="L15" s="10">
        <v>200</v>
      </c>
      <c r="M15" s="30">
        <f t="shared" si="3"/>
        <v>0.70940170940170943</v>
      </c>
    </row>
    <row r="16" spans="2:18" ht="12.75" customHeight="1" x14ac:dyDescent="0.35">
      <c r="B16" s="1" t="s">
        <v>17</v>
      </c>
      <c r="D16" s="3" t="s">
        <v>18</v>
      </c>
      <c r="E16" s="10">
        <v>800</v>
      </c>
      <c r="F16" s="10">
        <v>656.03</v>
      </c>
      <c r="G16" s="10">
        <v>800</v>
      </c>
      <c r="H16" s="10">
        <v>566.95000000000005</v>
      </c>
      <c r="I16" s="10">
        <v>400</v>
      </c>
      <c r="J16" s="10">
        <v>371.64</v>
      </c>
      <c r="K16" s="96">
        <f t="shared" si="2"/>
        <v>0.92909999999999993</v>
      </c>
      <c r="L16" s="10">
        <v>500</v>
      </c>
      <c r="M16" s="30">
        <f t="shared" si="3"/>
        <v>0.25</v>
      </c>
    </row>
    <row r="17" spans="2:16" ht="12.75" customHeight="1" x14ac:dyDescent="0.35">
      <c r="B17" s="1" t="s">
        <v>19</v>
      </c>
      <c r="D17" s="3" t="s">
        <v>20</v>
      </c>
      <c r="E17" s="10">
        <v>233</v>
      </c>
      <c r="F17" s="10">
        <v>0</v>
      </c>
      <c r="G17" s="10">
        <v>233</v>
      </c>
      <c r="H17" s="10">
        <v>0</v>
      </c>
      <c r="I17" s="10">
        <v>117</v>
      </c>
      <c r="J17" s="10">
        <v>0</v>
      </c>
      <c r="K17" s="96">
        <f t="shared" si="2"/>
        <v>0</v>
      </c>
      <c r="L17" s="10">
        <v>200</v>
      </c>
      <c r="M17" s="30">
        <f t="shared" si="3"/>
        <v>0.70940170940170943</v>
      </c>
    </row>
    <row r="18" spans="2:16" ht="12.75" customHeight="1" x14ac:dyDescent="0.35">
      <c r="B18" s="1" t="s">
        <v>21</v>
      </c>
      <c r="D18" s="3" t="s">
        <v>22</v>
      </c>
      <c r="E18" s="10">
        <v>70</v>
      </c>
      <c r="F18" s="10">
        <v>25.06</v>
      </c>
      <c r="G18" s="10">
        <v>70</v>
      </c>
      <c r="H18" s="10">
        <v>10.93</v>
      </c>
      <c r="I18" s="10">
        <v>35</v>
      </c>
      <c r="J18" s="10">
        <v>15.24</v>
      </c>
      <c r="K18" s="96">
        <f t="shared" si="2"/>
        <v>0.43542857142857144</v>
      </c>
      <c r="L18" s="10">
        <v>20</v>
      </c>
      <c r="M18" s="30">
        <f t="shared" si="3"/>
        <v>-0.42857142857142855</v>
      </c>
    </row>
    <row r="19" spans="2:16" ht="12.75" customHeight="1" x14ac:dyDescent="0.35">
      <c r="B19" s="1" t="s">
        <v>23</v>
      </c>
      <c r="D19" s="3" t="s">
        <v>24</v>
      </c>
      <c r="E19" s="10">
        <v>7938</v>
      </c>
      <c r="F19" s="10">
        <v>7276</v>
      </c>
      <c r="G19" s="10">
        <v>7938</v>
      </c>
      <c r="H19" s="10">
        <v>7938</v>
      </c>
      <c r="I19" s="10">
        <f>+G19*1.03</f>
        <v>8176.14</v>
      </c>
      <c r="J19" s="93">
        <v>12945.65</v>
      </c>
      <c r="K19" s="96">
        <f t="shared" si="2"/>
        <v>1.5833449525081518</v>
      </c>
      <c r="L19" s="10">
        <f>+I19*1.03</f>
        <v>8421.4242000000013</v>
      </c>
      <c r="M19" s="30">
        <f t="shared" si="3"/>
        <v>3.0000000000000117E-2</v>
      </c>
      <c r="N19" s="94" t="s">
        <v>121</v>
      </c>
      <c r="O19" s="94"/>
      <c r="P19" s="94"/>
    </row>
    <row r="20" spans="2:16" ht="12.75" customHeight="1" x14ac:dyDescent="0.35">
      <c r="B20" s="1" t="s">
        <v>25</v>
      </c>
      <c r="D20" s="3" t="s">
        <v>26</v>
      </c>
      <c r="E20" s="10">
        <v>1000</v>
      </c>
      <c r="F20" s="10">
        <v>116.72</v>
      </c>
      <c r="G20" s="10">
        <v>1000</v>
      </c>
      <c r="H20" s="10">
        <v>1785.12</v>
      </c>
      <c r="I20" s="10">
        <v>1000</v>
      </c>
      <c r="J20" s="10">
        <v>979.79</v>
      </c>
      <c r="K20" s="96">
        <f t="shared" si="2"/>
        <v>0.97978999999999994</v>
      </c>
      <c r="L20" s="10">
        <v>1000</v>
      </c>
      <c r="M20" s="30">
        <f>SUM(L20-I20)/I20</f>
        <v>0</v>
      </c>
    </row>
    <row r="21" spans="2:16" ht="12.75" customHeight="1" x14ac:dyDescent="0.35">
      <c r="B21" s="1" t="s">
        <v>27</v>
      </c>
      <c r="D21" s="3" t="s">
        <v>28</v>
      </c>
      <c r="E21" s="10">
        <v>205</v>
      </c>
      <c r="F21" s="10">
        <v>203.17</v>
      </c>
      <c r="G21" s="10">
        <v>205</v>
      </c>
      <c r="H21" s="10">
        <v>52.52</v>
      </c>
      <c r="I21" s="10">
        <v>103</v>
      </c>
      <c r="J21" s="10">
        <v>462.04</v>
      </c>
      <c r="K21" s="96">
        <f t="shared" si="2"/>
        <v>4.4858252427184464</v>
      </c>
      <c r="L21" s="10">
        <v>462</v>
      </c>
      <c r="M21" s="30">
        <f t="shared" si="3"/>
        <v>3.4854368932038833</v>
      </c>
    </row>
    <row r="22" spans="2:16" ht="12.75" customHeight="1" x14ac:dyDescent="0.35">
      <c r="B22" s="1" t="s">
        <v>29</v>
      </c>
      <c r="D22" s="3" t="s">
        <v>30</v>
      </c>
      <c r="E22" s="10">
        <v>12290</v>
      </c>
      <c r="F22" s="10">
        <v>12233.06</v>
      </c>
      <c r="G22" s="10">
        <v>12290</v>
      </c>
      <c r="H22" s="10">
        <v>12144.36</v>
      </c>
      <c r="I22" s="10">
        <v>12290</v>
      </c>
      <c r="J22" s="10">
        <v>12422.43</v>
      </c>
      <c r="K22" s="96">
        <f t="shared" si="2"/>
        <v>1.0107754271765663</v>
      </c>
      <c r="L22" s="10">
        <v>12500</v>
      </c>
      <c r="M22" s="30">
        <f t="shared" si="3"/>
        <v>1.7087062652563059E-2</v>
      </c>
    </row>
    <row r="23" spans="2:16" ht="12.75" customHeight="1" x14ac:dyDescent="0.35">
      <c r="B23" s="1" t="s">
        <v>31</v>
      </c>
      <c r="D23" s="3" t="s">
        <v>32</v>
      </c>
      <c r="E23" s="10">
        <v>5500</v>
      </c>
      <c r="F23" s="10">
        <v>5500</v>
      </c>
      <c r="G23" s="10">
        <v>5500</v>
      </c>
      <c r="H23" s="10">
        <v>5500</v>
      </c>
      <c r="I23" s="10">
        <v>7810</v>
      </c>
      <c r="J23" s="10">
        <v>0</v>
      </c>
      <c r="K23" s="96">
        <f t="shared" si="2"/>
        <v>0</v>
      </c>
      <c r="L23" s="10">
        <v>7810</v>
      </c>
      <c r="M23" s="30">
        <f t="shared" si="3"/>
        <v>0</v>
      </c>
    </row>
    <row r="24" spans="2:16" ht="12.75" customHeight="1" x14ac:dyDescent="0.35">
      <c r="B24" s="1" t="s">
        <v>33</v>
      </c>
      <c r="D24" s="3" t="s">
        <v>34</v>
      </c>
      <c r="E24" s="10">
        <v>20091</v>
      </c>
      <c r="F24" s="10">
        <v>3580</v>
      </c>
      <c r="G24" s="10">
        <v>20091</v>
      </c>
      <c r="H24" s="10">
        <v>21578.84</v>
      </c>
      <c r="I24" s="10">
        <v>21000</v>
      </c>
      <c r="J24" s="10">
        <v>28931.94</v>
      </c>
      <c r="K24" s="96">
        <f t="shared" si="2"/>
        <v>1.3777114285714285</v>
      </c>
      <c r="L24" s="10">
        <f>23494-362</f>
        <v>23132</v>
      </c>
      <c r="M24" s="30">
        <f t="shared" si="3"/>
        <v>0.10152380952380953</v>
      </c>
      <c r="N24" s="1" t="s">
        <v>125</v>
      </c>
    </row>
    <row r="25" spans="2:16" ht="12.75" customHeight="1" x14ac:dyDescent="0.35">
      <c r="B25" s="1" t="s">
        <v>35</v>
      </c>
      <c r="D25" s="3" t="s">
        <v>36</v>
      </c>
      <c r="E25" s="10">
        <v>1000</v>
      </c>
      <c r="F25" s="10">
        <v>0</v>
      </c>
      <c r="G25" s="10">
        <v>1000</v>
      </c>
      <c r="H25" s="10">
        <v>920</v>
      </c>
      <c r="I25" s="10">
        <v>1000</v>
      </c>
      <c r="J25" s="10">
        <v>460</v>
      </c>
      <c r="K25" s="96">
        <f t="shared" si="2"/>
        <v>0.46</v>
      </c>
      <c r="L25" s="10">
        <v>1000</v>
      </c>
      <c r="M25" s="30">
        <f t="shared" si="3"/>
        <v>0</v>
      </c>
    </row>
    <row r="26" spans="2:16" ht="12.75" customHeight="1" x14ac:dyDescent="0.35">
      <c r="B26" s="1" t="s">
        <v>37</v>
      </c>
      <c r="D26" s="3" t="s">
        <v>38</v>
      </c>
      <c r="E26" s="10">
        <v>3300</v>
      </c>
      <c r="F26" s="10">
        <v>872.5</v>
      </c>
      <c r="G26" s="10">
        <v>3300</v>
      </c>
      <c r="H26" s="10">
        <v>2122.5</v>
      </c>
      <c r="I26" s="10">
        <v>3300</v>
      </c>
      <c r="J26" s="10">
        <v>872.5</v>
      </c>
      <c r="K26" s="96">
        <f t="shared" si="2"/>
        <v>0.2643939393939394</v>
      </c>
      <c r="L26" s="10">
        <v>3300</v>
      </c>
      <c r="M26" s="30">
        <f t="shared" si="3"/>
        <v>0</v>
      </c>
    </row>
    <row r="27" spans="2:16" ht="12.75" customHeight="1" x14ac:dyDescent="0.35">
      <c r="B27" s="1" t="s">
        <v>39</v>
      </c>
      <c r="D27" s="3" t="s">
        <v>40</v>
      </c>
      <c r="E27" s="10">
        <v>0</v>
      </c>
      <c r="F27" s="10">
        <v>0</v>
      </c>
      <c r="G27" s="10">
        <v>0</v>
      </c>
      <c r="H27" s="10">
        <v>41.83</v>
      </c>
      <c r="I27" s="10">
        <v>0</v>
      </c>
      <c r="J27" s="10">
        <v>277.94</v>
      </c>
      <c r="K27" s="96"/>
      <c r="L27" s="10">
        <v>0</v>
      </c>
      <c r="M27" s="30"/>
    </row>
    <row r="28" spans="2:16" s="7" customFormat="1" ht="12.75" customHeight="1" x14ac:dyDescent="0.35">
      <c r="C28" s="8" t="s">
        <v>41</v>
      </c>
      <c r="E28" s="12">
        <v>55660</v>
      </c>
      <c r="F28" s="12">
        <f t="shared" ref="F28:L28" si="4">SUM(F14:F27)</f>
        <v>33027.119999999995</v>
      </c>
      <c r="G28" s="12">
        <f t="shared" si="4"/>
        <v>55660</v>
      </c>
      <c r="H28" s="12">
        <f t="shared" si="4"/>
        <v>55472.91</v>
      </c>
      <c r="I28" s="12">
        <f t="shared" si="4"/>
        <v>56848.14</v>
      </c>
      <c r="J28" s="81">
        <f t="shared" si="4"/>
        <v>60680.59</v>
      </c>
      <c r="K28" s="97">
        <f>+J28/I28</f>
        <v>1.0674155741946878</v>
      </c>
      <c r="L28" s="12">
        <f t="shared" si="4"/>
        <v>60100.424200000001</v>
      </c>
    </row>
    <row r="29" spans="2:16" ht="12.75" customHeight="1" x14ac:dyDescent="0.35">
      <c r="E29" s="14"/>
      <c r="F29" s="14"/>
      <c r="G29" s="14">
        <f>SUM(G28-E28)/E28</f>
        <v>0</v>
      </c>
      <c r="H29" s="15"/>
      <c r="I29" s="14">
        <f>SUM(I28-G28)/G28</f>
        <v>2.1346388789076527E-2</v>
      </c>
      <c r="J29" s="15"/>
      <c r="K29" s="15"/>
      <c r="L29" s="14">
        <f>SUM(L28-I28)/I28</f>
        <v>5.721003712698431E-2</v>
      </c>
      <c r="M29" s="14"/>
    </row>
    <row r="30" spans="2:16" ht="12.75" customHeight="1" x14ac:dyDescent="0.35">
      <c r="C30" s="103" t="s">
        <v>122</v>
      </c>
      <c r="D30" s="103"/>
      <c r="E30" s="103"/>
      <c r="F30" s="103"/>
      <c r="G30" s="103"/>
      <c r="H30" s="103"/>
    </row>
    <row r="31" spans="2:16" ht="20.5" customHeight="1" x14ac:dyDescent="0.35">
      <c r="C31" s="103"/>
      <c r="D31" s="103"/>
      <c r="E31" s="103"/>
      <c r="F31" s="103"/>
      <c r="G31" s="103"/>
      <c r="H31" s="103"/>
    </row>
    <row r="32" spans="2:16" x14ac:dyDescent="0.35">
      <c r="J32" s="98" t="s">
        <v>126</v>
      </c>
    </row>
    <row r="33" spans="10:10" x14ac:dyDescent="0.35">
      <c r="J33" s="98" t="s">
        <v>127</v>
      </c>
    </row>
    <row r="35" spans="10:10" x14ac:dyDescent="0.35">
      <c r="J35" s="98" t="s">
        <v>128</v>
      </c>
    </row>
  </sheetData>
  <mergeCells count="3">
    <mergeCell ref="C2:H2"/>
    <mergeCell ref="M11:O12"/>
    <mergeCell ref="C30:H31"/>
  </mergeCells>
  <printOptions horizontalCentered="1"/>
  <pageMargins left="0.45" right="0.45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DB978-7B48-40FB-8898-F6A70FAD1817}">
  <sheetPr>
    <pageSetUpPr fitToPage="1"/>
  </sheetPr>
  <dimension ref="B2:Q32"/>
  <sheetViews>
    <sheetView zoomScaleNormal="10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H7" sqref="H7"/>
    </sheetView>
  </sheetViews>
  <sheetFormatPr defaultColWidth="9.1796875" defaultRowHeight="14.5" x14ac:dyDescent="0.35"/>
  <cols>
    <col min="1" max="1" width="2.6328125" style="1" customWidth="1"/>
    <col min="2" max="2" width="23.36328125" style="1" hidden="1" customWidth="1"/>
    <col min="3" max="3" width="2.453125" style="1" customWidth="1"/>
    <col min="4" max="4" width="22.81640625" style="1" customWidth="1"/>
    <col min="5" max="11" width="14.453125" style="1" customWidth="1"/>
    <col min="12" max="12" width="11.453125" style="1" customWidth="1"/>
    <col min="13" max="13" width="14.453125" style="1" customWidth="1"/>
    <col min="14" max="14" width="11.1796875" style="1" customWidth="1"/>
    <col min="15" max="15" width="13.453125" style="1" customWidth="1"/>
    <col min="16" max="16" width="15.6328125" style="1" customWidth="1"/>
    <col min="17" max="16384" width="9.1796875" style="1"/>
  </cols>
  <sheetData>
    <row r="2" spans="2:17" ht="15.5" x14ac:dyDescent="0.35">
      <c r="C2" s="99" t="s">
        <v>42</v>
      </c>
      <c r="D2" s="100"/>
      <c r="E2" s="100"/>
      <c r="F2" s="100"/>
      <c r="G2" s="100"/>
      <c r="H2" s="100"/>
    </row>
    <row r="3" spans="2:17" x14ac:dyDescent="0.35">
      <c r="D3" s="2"/>
      <c r="E3" s="3"/>
      <c r="F3" s="3"/>
      <c r="G3" s="3"/>
      <c r="H3" s="4" t="s">
        <v>107</v>
      </c>
      <c r="J3" s="4" t="s">
        <v>109</v>
      </c>
    </row>
    <row r="4" spans="2:17" x14ac:dyDescent="0.35">
      <c r="D4" s="2"/>
      <c r="E4" s="4" t="s">
        <v>44</v>
      </c>
      <c r="F4" s="4" t="s">
        <v>44</v>
      </c>
      <c r="G4" s="4" t="s">
        <v>107</v>
      </c>
      <c r="H4" s="4" t="s">
        <v>1</v>
      </c>
      <c r="I4" s="4" t="s">
        <v>109</v>
      </c>
      <c r="J4" s="4" t="s">
        <v>1</v>
      </c>
      <c r="K4" s="4" t="s">
        <v>114</v>
      </c>
      <c r="L4" s="77" t="s">
        <v>110</v>
      </c>
    </row>
    <row r="5" spans="2:17" ht="12.75" customHeight="1" x14ac:dyDescent="0.35">
      <c r="D5" s="3"/>
      <c r="E5" s="5" t="s">
        <v>2</v>
      </c>
      <c r="F5" s="4" t="s">
        <v>1</v>
      </c>
      <c r="G5" s="5" t="s">
        <v>2</v>
      </c>
      <c r="H5" s="92">
        <v>44742</v>
      </c>
      <c r="I5" s="5" t="s">
        <v>2</v>
      </c>
      <c r="J5" s="80" t="s">
        <v>115</v>
      </c>
      <c r="K5" s="5" t="s">
        <v>2</v>
      </c>
      <c r="L5" s="77" t="s">
        <v>111</v>
      </c>
    </row>
    <row r="6" spans="2:17" s="7" customFormat="1" ht="12.75" customHeight="1" x14ac:dyDescent="0.35">
      <c r="B6" s="7" t="s">
        <v>3</v>
      </c>
      <c r="C6" s="8" t="s">
        <v>4</v>
      </c>
      <c r="E6" s="9"/>
      <c r="F6" s="9"/>
      <c r="G6" s="9"/>
      <c r="H6" s="9"/>
      <c r="I6" s="9"/>
      <c r="J6" s="9"/>
      <c r="K6" s="9"/>
      <c r="M6" s="84" t="s">
        <v>113</v>
      </c>
      <c r="N6" s="86" t="s">
        <v>112</v>
      </c>
      <c r="O6" s="88" t="s">
        <v>118</v>
      </c>
      <c r="P6" s="90" t="s">
        <v>119</v>
      </c>
    </row>
    <row r="7" spans="2:17" ht="12.75" customHeight="1" x14ac:dyDescent="0.35">
      <c r="B7" s="1" t="s">
        <v>5</v>
      </c>
      <c r="D7" s="3" t="s">
        <v>6</v>
      </c>
      <c r="E7" s="10">
        <v>55460</v>
      </c>
      <c r="F7" s="10">
        <v>49763.08</v>
      </c>
      <c r="G7" s="10">
        <v>55460</v>
      </c>
      <c r="H7" s="10">
        <v>52587.08</v>
      </c>
      <c r="I7" s="79">
        <v>56847</v>
      </c>
      <c r="J7" s="10">
        <v>35563.56</v>
      </c>
      <c r="K7" s="79">
        <v>60000</v>
      </c>
      <c r="L7" s="30">
        <f>SUM(K7-I7)/I7</f>
        <v>5.5464668320227978E-2</v>
      </c>
      <c r="M7" s="85">
        <f>+J7/9</f>
        <v>3951.5066666666662</v>
      </c>
      <c r="N7" s="87">
        <f>+M7*12</f>
        <v>47418.079999999994</v>
      </c>
      <c r="O7" s="89">
        <f>+K7-N7</f>
        <v>12581.920000000006</v>
      </c>
      <c r="P7" s="91">
        <f>+O7/N7</f>
        <v>0.26534014030091491</v>
      </c>
    </row>
    <row r="8" spans="2:17" ht="12.75" customHeight="1" x14ac:dyDescent="0.35">
      <c r="B8" s="1" t="s">
        <v>7</v>
      </c>
      <c r="D8" s="3" t="s">
        <v>8</v>
      </c>
      <c r="E8" s="10">
        <v>200</v>
      </c>
      <c r="F8" s="10">
        <v>0</v>
      </c>
      <c r="G8" s="10">
        <v>200</v>
      </c>
      <c r="H8" s="10">
        <v>181.23</v>
      </c>
      <c r="I8" s="10">
        <v>0</v>
      </c>
      <c r="J8" s="10">
        <v>0</v>
      </c>
      <c r="K8" s="10">
        <v>100</v>
      </c>
      <c r="L8" s="30">
        <v>0</v>
      </c>
      <c r="M8" s="91" t="s">
        <v>117</v>
      </c>
      <c r="N8" s="91"/>
      <c r="O8" s="91"/>
      <c r="P8" s="91"/>
      <c r="Q8" s="91"/>
    </row>
    <row r="9" spans="2:17" ht="12.75" customHeight="1" x14ac:dyDescent="0.35">
      <c r="B9" s="1" t="s">
        <v>9</v>
      </c>
      <c r="D9" s="3" t="s">
        <v>10</v>
      </c>
      <c r="E9" s="10">
        <v>0</v>
      </c>
      <c r="F9" s="10">
        <v>0</v>
      </c>
      <c r="G9" s="10">
        <v>0</v>
      </c>
      <c r="H9" s="10">
        <v>0</v>
      </c>
      <c r="I9" s="10"/>
      <c r="J9" s="10">
        <v>0</v>
      </c>
      <c r="K9" s="10"/>
      <c r="L9" s="31"/>
    </row>
    <row r="10" spans="2:17" s="7" customFormat="1" ht="12.75" customHeight="1" x14ac:dyDescent="0.35">
      <c r="C10" s="8" t="s">
        <v>11</v>
      </c>
      <c r="E10" s="12">
        <f t="shared" ref="E10" si="0">SUM(E7:E9)</f>
        <v>55660</v>
      </c>
      <c r="F10" s="12">
        <f t="shared" ref="F10:H10" si="1">SUM(F7:F9)</f>
        <v>49763.08</v>
      </c>
      <c r="G10" s="12">
        <f t="shared" si="1"/>
        <v>55660</v>
      </c>
      <c r="H10" s="12">
        <f t="shared" si="1"/>
        <v>52768.310000000005</v>
      </c>
      <c r="I10" s="12">
        <f t="shared" ref="I10:J10" si="2">SUM(I7:I9)</f>
        <v>56847</v>
      </c>
      <c r="J10" s="12">
        <f t="shared" si="2"/>
        <v>35563.56</v>
      </c>
      <c r="K10" s="12">
        <f t="shared" ref="K10" si="3">SUM(K7:K9)</f>
        <v>60100</v>
      </c>
    </row>
    <row r="11" spans="2:17" ht="12.75" customHeight="1" x14ac:dyDescent="0.35">
      <c r="D11" s="13"/>
      <c r="E11" s="14">
        <v>0</v>
      </c>
      <c r="F11" s="14"/>
      <c r="G11" s="14">
        <f>SUM(G10-E10)/E10</f>
        <v>0</v>
      </c>
      <c r="H11" s="15"/>
      <c r="I11" s="78">
        <f>SUM(I10-G10)/G10</f>
        <v>2.1325907294286742E-2</v>
      </c>
      <c r="J11" s="15"/>
      <c r="K11" s="78">
        <f>SUM(K10-I10)/I10</f>
        <v>5.7223776100761695E-2</v>
      </c>
      <c r="L11" s="101" t="s">
        <v>120</v>
      </c>
      <c r="M11" s="101"/>
      <c r="N11" s="101"/>
    </row>
    <row r="12" spans="2:17" ht="46.5" customHeight="1" x14ac:dyDescent="0.35">
      <c r="D12" s="13"/>
      <c r="E12" s="3"/>
      <c r="F12" s="3"/>
      <c r="G12" s="3"/>
      <c r="H12" s="3"/>
      <c r="I12" s="3"/>
      <c r="J12" s="3"/>
      <c r="K12" s="3"/>
      <c r="L12" s="102"/>
      <c r="M12" s="102"/>
      <c r="N12" s="102"/>
    </row>
    <row r="13" spans="2:17" s="7" customFormat="1" ht="12.75" customHeight="1" x14ac:dyDescent="0.35">
      <c r="C13" s="8" t="s">
        <v>12</v>
      </c>
      <c r="E13" s="9"/>
      <c r="F13" s="9"/>
      <c r="G13" s="9"/>
      <c r="H13" s="9"/>
      <c r="I13" s="9"/>
      <c r="J13" s="9"/>
      <c r="K13" s="9"/>
    </row>
    <row r="14" spans="2:17" ht="12.75" customHeight="1" x14ac:dyDescent="0.35">
      <c r="B14" s="1" t="s">
        <v>13</v>
      </c>
      <c r="D14" s="3" t="s">
        <v>14</v>
      </c>
      <c r="E14" s="10">
        <v>3000</v>
      </c>
      <c r="F14" s="10">
        <v>2395.0300000000002</v>
      </c>
      <c r="G14" s="10">
        <v>3000</v>
      </c>
      <c r="H14" s="10">
        <v>2625.7</v>
      </c>
      <c r="I14" s="10">
        <v>1500</v>
      </c>
      <c r="J14" s="10">
        <v>2747.45</v>
      </c>
      <c r="K14" s="10">
        <f>1874-319</f>
        <v>1555</v>
      </c>
      <c r="L14" s="30">
        <f t="shared" ref="L14:L27" si="4">SUM(K14-I14)/I14</f>
        <v>3.6666666666666667E-2</v>
      </c>
    </row>
    <row r="15" spans="2:17" ht="12.75" customHeight="1" x14ac:dyDescent="0.35">
      <c r="B15" s="1" t="s">
        <v>15</v>
      </c>
      <c r="D15" s="3" t="s">
        <v>16</v>
      </c>
      <c r="E15" s="10">
        <v>233</v>
      </c>
      <c r="F15" s="10">
        <v>169.55</v>
      </c>
      <c r="G15" s="10">
        <v>233</v>
      </c>
      <c r="H15" s="10">
        <v>186.16</v>
      </c>
      <c r="I15" s="10">
        <v>117</v>
      </c>
      <c r="J15" s="10">
        <v>193.97</v>
      </c>
      <c r="K15" s="10">
        <v>200</v>
      </c>
      <c r="L15" s="30">
        <f t="shared" si="4"/>
        <v>0.70940170940170943</v>
      </c>
    </row>
    <row r="16" spans="2:17" ht="12.75" customHeight="1" x14ac:dyDescent="0.35">
      <c r="B16" s="1" t="s">
        <v>17</v>
      </c>
      <c r="D16" s="3" t="s">
        <v>18</v>
      </c>
      <c r="E16" s="10">
        <v>800</v>
      </c>
      <c r="F16" s="10">
        <v>656.03</v>
      </c>
      <c r="G16" s="10">
        <v>800</v>
      </c>
      <c r="H16" s="10">
        <v>566.95000000000005</v>
      </c>
      <c r="I16" s="10">
        <v>400</v>
      </c>
      <c r="J16" s="10">
        <v>371.64</v>
      </c>
      <c r="K16" s="10">
        <v>500</v>
      </c>
      <c r="L16" s="30">
        <f t="shared" si="4"/>
        <v>0.25</v>
      </c>
    </row>
    <row r="17" spans="2:12" ht="12.75" customHeight="1" x14ac:dyDescent="0.35">
      <c r="B17" s="1" t="s">
        <v>19</v>
      </c>
      <c r="D17" s="3" t="s">
        <v>20</v>
      </c>
      <c r="E17" s="10">
        <v>233</v>
      </c>
      <c r="F17" s="10">
        <v>0</v>
      </c>
      <c r="G17" s="10">
        <v>233</v>
      </c>
      <c r="H17" s="10">
        <v>0</v>
      </c>
      <c r="I17" s="10">
        <v>117</v>
      </c>
      <c r="J17" s="10">
        <v>0</v>
      </c>
      <c r="K17" s="10">
        <v>200</v>
      </c>
      <c r="L17" s="30">
        <f t="shared" si="4"/>
        <v>0.70940170940170943</v>
      </c>
    </row>
    <row r="18" spans="2:12" ht="12.75" customHeight="1" x14ac:dyDescent="0.35">
      <c r="B18" s="1" t="s">
        <v>21</v>
      </c>
      <c r="D18" s="3" t="s">
        <v>22</v>
      </c>
      <c r="E18" s="10">
        <v>70</v>
      </c>
      <c r="F18" s="10">
        <v>25.06</v>
      </c>
      <c r="G18" s="10">
        <v>70</v>
      </c>
      <c r="H18" s="10">
        <v>10.93</v>
      </c>
      <c r="I18" s="10">
        <v>35</v>
      </c>
      <c r="J18" s="10">
        <v>15.24</v>
      </c>
      <c r="K18" s="10">
        <v>20</v>
      </c>
      <c r="L18" s="30">
        <f t="shared" si="4"/>
        <v>-0.42857142857142855</v>
      </c>
    </row>
    <row r="19" spans="2:12" ht="12.75" customHeight="1" x14ac:dyDescent="0.35">
      <c r="B19" s="1" t="s">
        <v>23</v>
      </c>
      <c r="D19" s="3" t="s">
        <v>24</v>
      </c>
      <c r="E19" s="10">
        <v>7938</v>
      </c>
      <c r="F19" s="10">
        <v>7276</v>
      </c>
      <c r="G19" s="10">
        <v>7938</v>
      </c>
      <c r="H19" s="10">
        <v>7938</v>
      </c>
      <c r="I19" s="10">
        <f>+G19*1.03</f>
        <v>8176.14</v>
      </c>
      <c r="J19" s="10">
        <v>12945.65</v>
      </c>
      <c r="K19" s="10">
        <f>+I19*1.03</f>
        <v>8421.4242000000013</v>
      </c>
      <c r="L19" s="30">
        <f t="shared" si="4"/>
        <v>3.0000000000000117E-2</v>
      </c>
    </row>
    <row r="20" spans="2:12" ht="12.75" customHeight="1" x14ac:dyDescent="0.35">
      <c r="B20" s="1" t="s">
        <v>23</v>
      </c>
      <c r="D20" s="82" t="s">
        <v>116</v>
      </c>
      <c r="E20" s="83"/>
      <c r="F20" s="83"/>
      <c r="G20" s="83">
        <v>0</v>
      </c>
      <c r="H20" s="83">
        <v>14474</v>
      </c>
      <c r="I20" s="10"/>
      <c r="J20" s="10"/>
      <c r="K20" s="10"/>
      <c r="L20" s="30"/>
    </row>
    <row r="21" spans="2:12" ht="12.75" customHeight="1" x14ac:dyDescent="0.35">
      <c r="B21" s="1" t="s">
        <v>25</v>
      </c>
      <c r="D21" s="3" t="s">
        <v>26</v>
      </c>
      <c r="E21" s="10">
        <v>1000</v>
      </c>
      <c r="F21" s="10">
        <v>116.72</v>
      </c>
      <c r="G21" s="10">
        <v>1000</v>
      </c>
      <c r="H21" s="10">
        <v>1785.12</v>
      </c>
      <c r="I21" s="10">
        <v>1000</v>
      </c>
      <c r="J21" s="10">
        <v>979.79</v>
      </c>
      <c r="K21" s="10">
        <v>1000</v>
      </c>
      <c r="L21" s="30">
        <f>SUM(K21-I21)/I21</f>
        <v>0</v>
      </c>
    </row>
    <row r="22" spans="2:12" ht="12.75" customHeight="1" x14ac:dyDescent="0.35">
      <c r="B22" s="1" t="s">
        <v>27</v>
      </c>
      <c r="D22" s="3" t="s">
        <v>28</v>
      </c>
      <c r="E22" s="10">
        <v>205</v>
      </c>
      <c r="F22" s="10">
        <v>203.17</v>
      </c>
      <c r="G22" s="10">
        <v>205</v>
      </c>
      <c r="H22" s="10">
        <v>52.52</v>
      </c>
      <c r="I22" s="10">
        <v>103</v>
      </c>
      <c r="J22" s="10">
        <v>462.04</v>
      </c>
      <c r="K22" s="10">
        <v>100</v>
      </c>
      <c r="L22" s="30">
        <f t="shared" si="4"/>
        <v>-2.9126213592233011E-2</v>
      </c>
    </row>
    <row r="23" spans="2:12" ht="12.75" customHeight="1" x14ac:dyDescent="0.35">
      <c r="B23" s="1" t="s">
        <v>29</v>
      </c>
      <c r="D23" s="3" t="s">
        <v>30</v>
      </c>
      <c r="E23" s="10">
        <v>12290</v>
      </c>
      <c r="F23" s="10">
        <v>12233.06</v>
      </c>
      <c r="G23" s="10">
        <v>12290</v>
      </c>
      <c r="H23" s="10">
        <v>12144.36</v>
      </c>
      <c r="I23" s="10">
        <v>12290</v>
      </c>
      <c r="J23" s="10">
        <v>12422.43</v>
      </c>
      <c r="K23" s="10">
        <v>12500</v>
      </c>
      <c r="L23" s="30">
        <f t="shared" si="4"/>
        <v>1.7087062652563059E-2</v>
      </c>
    </row>
    <row r="24" spans="2:12" ht="12.75" customHeight="1" x14ac:dyDescent="0.35">
      <c r="B24" s="1" t="s">
        <v>31</v>
      </c>
      <c r="D24" s="3" t="s">
        <v>32</v>
      </c>
      <c r="E24" s="10">
        <v>5500</v>
      </c>
      <c r="F24" s="10">
        <v>5500</v>
      </c>
      <c r="G24" s="10">
        <v>5500</v>
      </c>
      <c r="H24" s="10">
        <v>5500</v>
      </c>
      <c r="I24" s="10">
        <v>7810</v>
      </c>
      <c r="J24" s="10">
        <v>0</v>
      </c>
      <c r="K24" s="10">
        <v>7810</v>
      </c>
      <c r="L24" s="30">
        <f t="shared" si="4"/>
        <v>0</v>
      </c>
    </row>
    <row r="25" spans="2:12" ht="12.75" customHeight="1" x14ac:dyDescent="0.35">
      <c r="B25" s="1" t="s">
        <v>33</v>
      </c>
      <c r="D25" s="3" t="s">
        <v>34</v>
      </c>
      <c r="E25" s="10">
        <v>20091</v>
      </c>
      <c r="F25" s="10">
        <v>3580</v>
      </c>
      <c r="G25" s="10">
        <v>20091</v>
      </c>
      <c r="H25" s="10">
        <v>21578.84</v>
      </c>
      <c r="I25" s="10">
        <v>21000</v>
      </c>
      <c r="J25" s="10">
        <v>28931.94</v>
      </c>
      <c r="K25" s="10">
        <v>21500</v>
      </c>
      <c r="L25" s="30">
        <f t="shared" si="4"/>
        <v>2.3809523809523808E-2</v>
      </c>
    </row>
    <row r="26" spans="2:12" ht="12.75" customHeight="1" x14ac:dyDescent="0.35">
      <c r="B26" s="1" t="s">
        <v>35</v>
      </c>
      <c r="D26" s="3" t="s">
        <v>36</v>
      </c>
      <c r="E26" s="10">
        <v>1000</v>
      </c>
      <c r="F26" s="10">
        <v>0</v>
      </c>
      <c r="G26" s="10">
        <v>1000</v>
      </c>
      <c r="H26" s="10">
        <v>920</v>
      </c>
      <c r="I26" s="10">
        <v>1000</v>
      </c>
      <c r="J26" s="10">
        <v>460</v>
      </c>
      <c r="K26" s="10">
        <v>1000</v>
      </c>
      <c r="L26" s="30">
        <f t="shared" si="4"/>
        <v>0</v>
      </c>
    </row>
    <row r="27" spans="2:12" ht="12.75" customHeight="1" x14ac:dyDescent="0.35">
      <c r="B27" s="1" t="s">
        <v>37</v>
      </c>
      <c r="D27" s="3" t="s">
        <v>38</v>
      </c>
      <c r="E27" s="10">
        <v>3300</v>
      </c>
      <c r="F27" s="10">
        <v>872.5</v>
      </c>
      <c r="G27" s="10">
        <v>3300</v>
      </c>
      <c r="H27" s="10">
        <v>2122.5</v>
      </c>
      <c r="I27" s="10">
        <v>3300</v>
      </c>
      <c r="J27" s="10">
        <v>872.5</v>
      </c>
      <c r="K27" s="10">
        <v>3300</v>
      </c>
      <c r="L27" s="30">
        <f t="shared" si="4"/>
        <v>0</v>
      </c>
    </row>
    <row r="28" spans="2:12" ht="12.75" customHeight="1" x14ac:dyDescent="0.35">
      <c r="B28" s="1" t="s">
        <v>39</v>
      </c>
      <c r="D28" s="3" t="s">
        <v>40</v>
      </c>
      <c r="E28" s="10">
        <v>0</v>
      </c>
      <c r="F28" s="10">
        <v>0</v>
      </c>
      <c r="G28" s="10">
        <v>0</v>
      </c>
      <c r="H28" s="10">
        <v>41.83</v>
      </c>
      <c r="I28" s="10">
        <v>0</v>
      </c>
      <c r="J28" s="10">
        <v>277.94</v>
      </c>
      <c r="K28" s="10">
        <v>0</v>
      </c>
      <c r="L28" s="30"/>
    </row>
    <row r="29" spans="2:12" s="7" customFormat="1" ht="12.75" customHeight="1" x14ac:dyDescent="0.35">
      <c r="C29" s="8" t="s">
        <v>41</v>
      </c>
      <c r="E29" s="12">
        <v>55660</v>
      </c>
      <c r="F29" s="12">
        <f t="shared" ref="F29:K29" si="5">SUM(F14:F28)</f>
        <v>33027.119999999995</v>
      </c>
      <c r="G29" s="12">
        <f t="shared" si="5"/>
        <v>55660</v>
      </c>
      <c r="H29" s="12">
        <f t="shared" si="5"/>
        <v>69946.91</v>
      </c>
      <c r="I29" s="12">
        <f t="shared" si="5"/>
        <v>56848.14</v>
      </c>
      <c r="J29" s="81">
        <f t="shared" si="5"/>
        <v>60680.59</v>
      </c>
      <c r="K29" s="12">
        <f t="shared" si="5"/>
        <v>58106.424200000001</v>
      </c>
    </row>
    <row r="30" spans="2:12" ht="12.75" customHeight="1" x14ac:dyDescent="0.35">
      <c r="E30" s="14"/>
      <c r="F30" s="14"/>
      <c r="G30" s="14">
        <f>SUM(G29-E29)/E29</f>
        <v>0</v>
      </c>
      <c r="H30" s="15"/>
      <c r="I30" s="14">
        <f>SUM(I29-G29)/G29</f>
        <v>2.1346388789076527E-2</v>
      </c>
      <c r="J30" s="15"/>
      <c r="K30" s="14">
        <f>SUM(K29-I29)/I29</f>
        <v>2.213413138934716E-2</v>
      </c>
      <c r="L30" s="14"/>
    </row>
    <row r="31" spans="2:12" ht="12.75" customHeight="1" x14ac:dyDescent="0.35">
      <c r="C31" s="103" t="s">
        <v>108</v>
      </c>
      <c r="D31" s="103"/>
      <c r="E31" s="103"/>
      <c r="F31" s="103"/>
      <c r="G31" s="103"/>
      <c r="H31" s="103"/>
    </row>
    <row r="32" spans="2:12" ht="20.5" customHeight="1" x14ac:dyDescent="0.35">
      <c r="C32" s="103"/>
      <c r="D32" s="103"/>
      <c r="E32" s="103"/>
      <c r="F32" s="103"/>
      <c r="G32" s="103"/>
      <c r="H32" s="103"/>
    </row>
  </sheetData>
  <mergeCells count="3">
    <mergeCell ref="C2:H2"/>
    <mergeCell ref="C31:H32"/>
    <mergeCell ref="L11:N12"/>
  </mergeCells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1CF42-37BE-4120-BCD1-2B39B9313D1E}">
  <sheetPr codeName="Sheet5">
    <pageSetUpPr fitToPage="1"/>
  </sheetPr>
  <dimension ref="B2:I31"/>
  <sheetViews>
    <sheetView workbookViewId="0">
      <selection activeCell="C32" sqref="C32"/>
    </sheetView>
  </sheetViews>
  <sheetFormatPr defaultColWidth="9.1796875" defaultRowHeight="14.5" x14ac:dyDescent="0.35"/>
  <cols>
    <col min="1" max="1" width="2.6328125" style="1" customWidth="1"/>
    <col min="2" max="2" width="23.36328125" style="1" hidden="1" customWidth="1"/>
    <col min="3" max="3" width="2.453125" style="1" customWidth="1"/>
    <col min="4" max="4" width="22.81640625" style="1" customWidth="1"/>
    <col min="5" max="11" width="14.453125" style="1" customWidth="1"/>
    <col min="12" max="16384" width="9.1796875" style="1"/>
  </cols>
  <sheetData>
    <row r="2" spans="2:8" ht="15.5" x14ac:dyDescent="0.35">
      <c r="C2" s="99" t="s">
        <v>42</v>
      </c>
      <c r="D2" s="100"/>
      <c r="E2" s="100"/>
      <c r="F2" s="100"/>
      <c r="G2" s="100"/>
      <c r="H2" s="100"/>
    </row>
    <row r="3" spans="2:8" x14ac:dyDescent="0.35">
      <c r="D3" s="2"/>
      <c r="E3" s="3"/>
      <c r="F3" s="3"/>
      <c r="G3" s="3"/>
      <c r="H3" s="4" t="s">
        <v>107</v>
      </c>
    </row>
    <row r="4" spans="2:8" x14ac:dyDescent="0.35">
      <c r="D4" s="2"/>
      <c r="E4" s="4" t="s">
        <v>44</v>
      </c>
      <c r="F4" s="4" t="s">
        <v>44</v>
      </c>
      <c r="G4" s="4" t="s">
        <v>107</v>
      </c>
      <c r="H4" s="4" t="s">
        <v>1</v>
      </c>
    </row>
    <row r="5" spans="2:8" ht="12.75" customHeight="1" x14ac:dyDescent="0.35">
      <c r="D5" s="3"/>
      <c r="E5" s="5" t="s">
        <v>2</v>
      </c>
      <c r="F5" s="4" t="s">
        <v>1</v>
      </c>
      <c r="G5" s="5" t="s">
        <v>2</v>
      </c>
      <c r="H5" s="6" t="s">
        <v>106</v>
      </c>
    </row>
    <row r="6" spans="2:8" s="7" customFormat="1" ht="12.75" customHeight="1" x14ac:dyDescent="0.35">
      <c r="B6" s="7" t="s">
        <v>3</v>
      </c>
      <c r="C6" s="8" t="s">
        <v>4</v>
      </c>
      <c r="E6" s="9"/>
      <c r="F6" s="9"/>
      <c r="G6" s="9"/>
      <c r="H6" s="9"/>
    </row>
    <row r="7" spans="2:8" ht="12.75" customHeight="1" x14ac:dyDescent="0.35">
      <c r="B7" s="1" t="s">
        <v>5</v>
      </c>
      <c r="D7" s="3" t="s">
        <v>6</v>
      </c>
      <c r="E7" s="10">
        <v>55460</v>
      </c>
      <c r="F7" s="10">
        <v>49763.08</v>
      </c>
      <c r="G7" s="10">
        <v>55460</v>
      </c>
      <c r="H7" s="10">
        <v>26505.040000000001</v>
      </c>
    </row>
    <row r="8" spans="2:8" ht="12.75" customHeight="1" x14ac:dyDescent="0.35">
      <c r="B8" s="1" t="s">
        <v>7</v>
      </c>
      <c r="D8" s="3" t="s">
        <v>8</v>
      </c>
      <c r="E8" s="10">
        <v>200</v>
      </c>
      <c r="F8" s="10">
        <v>0</v>
      </c>
      <c r="G8" s="10">
        <v>200</v>
      </c>
      <c r="H8" s="10">
        <v>0</v>
      </c>
    </row>
    <row r="9" spans="2:8" ht="12.75" customHeight="1" x14ac:dyDescent="0.35">
      <c r="B9" s="1" t="s">
        <v>9</v>
      </c>
      <c r="D9" s="3" t="s">
        <v>10</v>
      </c>
      <c r="E9" s="10">
        <v>0</v>
      </c>
      <c r="F9" s="10">
        <v>0</v>
      </c>
      <c r="G9" s="10">
        <v>0</v>
      </c>
      <c r="H9" s="10">
        <v>0</v>
      </c>
    </row>
    <row r="10" spans="2:8" s="7" customFormat="1" ht="12.75" customHeight="1" x14ac:dyDescent="0.35">
      <c r="C10" s="8" t="s">
        <v>11</v>
      </c>
      <c r="E10" s="12">
        <f t="shared" ref="E10" si="0">SUM(E7:E9)</f>
        <v>55660</v>
      </c>
      <c r="F10" s="12">
        <f t="shared" ref="F10:H10" si="1">SUM(F7:F9)</f>
        <v>49763.08</v>
      </c>
      <c r="G10" s="12">
        <f t="shared" si="1"/>
        <v>55660</v>
      </c>
      <c r="H10" s="12">
        <f t="shared" si="1"/>
        <v>26505.040000000001</v>
      </c>
    </row>
    <row r="11" spans="2:8" ht="12.75" customHeight="1" x14ac:dyDescent="0.35">
      <c r="D11" s="13"/>
      <c r="E11" s="14">
        <v>0</v>
      </c>
      <c r="F11" s="14"/>
      <c r="G11" s="14">
        <f>SUM(G10-E10)/E10</f>
        <v>0</v>
      </c>
      <c r="H11" s="15"/>
    </row>
    <row r="12" spans="2:8" ht="12.75" customHeight="1" x14ac:dyDescent="0.35">
      <c r="D12" s="13"/>
      <c r="E12" s="3"/>
      <c r="F12" s="3"/>
      <c r="G12" s="3"/>
      <c r="H12" s="3"/>
    </row>
    <row r="13" spans="2:8" s="7" customFormat="1" ht="12.75" customHeight="1" x14ac:dyDescent="0.35">
      <c r="C13" s="8" t="s">
        <v>12</v>
      </c>
      <c r="E13" s="9"/>
      <c r="F13" s="9"/>
      <c r="G13" s="9"/>
      <c r="H13" s="9"/>
    </row>
    <row r="14" spans="2:8" ht="12.75" customHeight="1" x14ac:dyDescent="0.35">
      <c r="B14" s="1" t="s">
        <v>13</v>
      </c>
      <c r="D14" s="3" t="s">
        <v>14</v>
      </c>
      <c r="E14" s="10">
        <v>3000</v>
      </c>
      <c r="F14" s="10">
        <v>2395.0300000000002</v>
      </c>
      <c r="G14" s="10">
        <v>3000</v>
      </c>
      <c r="H14" s="10">
        <v>1229.45</v>
      </c>
    </row>
    <row r="15" spans="2:8" ht="12.75" customHeight="1" x14ac:dyDescent="0.35">
      <c r="B15" s="1" t="s">
        <v>15</v>
      </c>
      <c r="D15" s="3" t="s">
        <v>16</v>
      </c>
      <c r="E15" s="10">
        <v>233</v>
      </c>
      <c r="F15" s="10">
        <v>169.55</v>
      </c>
      <c r="G15" s="10">
        <v>233</v>
      </c>
      <c r="H15" s="10">
        <v>86.61</v>
      </c>
    </row>
    <row r="16" spans="2:8" ht="12.75" customHeight="1" x14ac:dyDescent="0.35">
      <c r="B16" s="1" t="s">
        <v>17</v>
      </c>
      <c r="D16" s="3" t="s">
        <v>18</v>
      </c>
      <c r="E16" s="10">
        <v>800</v>
      </c>
      <c r="F16" s="10">
        <v>656.03</v>
      </c>
      <c r="G16" s="10">
        <v>800</v>
      </c>
      <c r="H16" s="10">
        <v>331.7</v>
      </c>
    </row>
    <row r="17" spans="2:9" ht="12.75" customHeight="1" x14ac:dyDescent="0.35">
      <c r="B17" s="1" t="s">
        <v>19</v>
      </c>
      <c r="D17" s="3" t="s">
        <v>20</v>
      </c>
      <c r="E17" s="10">
        <v>233</v>
      </c>
      <c r="F17" s="10">
        <v>0</v>
      </c>
      <c r="G17" s="10">
        <v>233</v>
      </c>
      <c r="H17" s="10">
        <v>0</v>
      </c>
    </row>
    <row r="18" spans="2:9" ht="12.75" customHeight="1" x14ac:dyDescent="0.35">
      <c r="B18" s="1" t="s">
        <v>21</v>
      </c>
      <c r="D18" s="3" t="s">
        <v>22</v>
      </c>
      <c r="E18" s="10">
        <v>70</v>
      </c>
      <c r="F18" s="10">
        <v>25.06</v>
      </c>
      <c r="G18" s="10">
        <v>70</v>
      </c>
      <c r="H18" s="10">
        <v>10.17</v>
      </c>
    </row>
    <row r="19" spans="2:9" ht="12.75" customHeight="1" x14ac:dyDescent="0.35">
      <c r="B19" s="1" t="s">
        <v>23</v>
      </c>
      <c r="D19" s="3" t="s">
        <v>24</v>
      </c>
      <c r="E19" s="10">
        <v>7938</v>
      </c>
      <c r="F19" s="10">
        <v>7276</v>
      </c>
      <c r="G19" s="10">
        <v>7938</v>
      </c>
      <c r="H19" s="10">
        <v>3307.5</v>
      </c>
      <c r="I19" s="10"/>
    </row>
    <row r="20" spans="2:9" ht="12.75" customHeight="1" x14ac:dyDescent="0.35">
      <c r="B20" s="1" t="s">
        <v>25</v>
      </c>
      <c r="D20" s="3" t="s">
        <v>26</v>
      </c>
      <c r="E20" s="10">
        <v>1000</v>
      </c>
      <c r="F20" s="10">
        <v>116.72</v>
      </c>
      <c r="G20" s="10">
        <v>1000</v>
      </c>
      <c r="H20" s="10">
        <v>31.88</v>
      </c>
    </row>
    <row r="21" spans="2:9" ht="12.75" customHeight="1" x14ac:dyDescent="0.35">
      <c r="B21" s="1" t="s">
        <v>27</v>
      </c>
      <c r="D21" s="3" t="s">
        <v>28</v>
      </c>
      <c r="E21" s="10">
        <v>205</v>
      </c>
      <c r="F21" s="10">
        <v>203.17</v>
      </c>
      <c r="G21" s="10">
        <v>205</v>
      </c>
      <c r="H21" s="10">
        <v>52.52</v>
      </c>
    </row>
    <row r="22" spans="2:9" ht="12.75" customHeight="1" x14ac:dyDescent="0.35">
      <c r="B22" s="1" t="s">
        <v>29</v>
      </c>
      <c r="D22" s="3" t="s">
        <v>30</v>
      </c>
      <c r="E22" s="10">
        <v>12290</v>
      </c>
      <c r="F22" s="10">
        <v>12233.06</v>
      </c>
      <c r="G22" s="10">
        <v>12290</v>
      </c>
      <c r="H22" s="10">
        <v>11680.74</v>
      </c>
    </row>
    <row r="23" spans="2:9" ht="12.75" customHeight="1" x14ac:dyDescent="0.35">
      <c r="B23" s="1" t="s">
        <v>31</v>
      </c>
      <c r="D23" s="3" t="s">
        <v>32</v>
      </c>
      <c r="E23" s="10">
        <v>5500</v>
      </c>
      <c r="F23" s="10">
        <v>5500</v>
      </c>
      <c r="G23" s="10">
        <v>5500</v>
      </c>
      <c r="H23" s="10">
        <v>0</v>
      </c>
    </row>
    <row r="24" spans="2:9" ht="12.75" customHeight="1" x14ac:dyDescent="0.35">
      <c r="B24" s="1" t="s">
        <v>33</v>
      </c>
      <c r="D24" s="3" t="s">
        <v>34</v>
      </c>
      <c r="E24" s="10">
        <v>20091</v>
      </c>
      <c r="F24" s="10">
        <v>3580</v>
      </c>
      <c r="G24" s="10">
        <v>20091</v>
      </c>
      <c r="H24" s="10">
        <v>2925</v>
      </c>
    </row>
    <row r="25" spans="2:9" ht="12.75" customHeight="1" x14ac:dyDescent="0.35">
      <c r="B25" s="1" t="s">
        <v>35</v>
      </c>
      <c r="D25" s="3" t="s">
        <v>36</v>
      </c>
      <c r="E25" s="10">
        <v>1000</v>
      </c>
      <c r="F25" s="10">
        <v>0</v>
      </c>
      <c r="G25" s="10">
        <v>1000</v>
      </c>
      <c r="H25" s="10">
        <v>460</v>
      </c>
    </row>
    <row r="26" spans="2:9" ht="12.75" customHeight="1" x14ac:dyDescent="0.35">
      <c r="B26" s="1" t="s">
        <v>37</v>
      </c>
      <c r="D26" s="3" t="s">
        <v>38</v>
      </c>
      <c r="E26" s="10">
        <v>3300</v>
      </c>
      <c r="F26" s="10">
        <v>872.5</v>
      </c>
      <c r="G26" s="10">
        <v>3300</v>
      </c>
      <c r="H26" s="10">
        <v>872.5</v>
      </c>
    </row>
    <row r="27" spans="2:9" ht="12.75" customHeight="1" x14ac:dyDescent="0.35">
      <c r="B27" s="1" t="s">
        <v>39</v>
      </c>
      <c r="D27" s="3" t="s">
        <v>40</v>
      </c>
      <c r="E27" s="10">
        <v>0</v>
      </c>
      <c r="F27" s="10">
        <v>0</v>
      </c>
      <c r="G27" s="10">
        <v>0</v>
      </c>
      <c r="H27" s="10">
        <v>9.98</v>
      </c>
    </row>
    <row r="28" spans="2:9" s="7" customFormat="1" ht="12.75" customHeight="1" x14ac:dyDescent="0.35">
      <c r="C28" s="8" t="s">
        <v>41</v>
      </c>
      <c r="E28" s="12">
        <v>55660</v>
      </c>
      <c r="F28" s="12">
        <f>SUM(F14:F27)</f>
        <v>33027.119999999995</v>
      </c>
      <c r="G28" s="12">
        <f>SUM(G14:G27)</f>
        <v>55660</v>
      </c>
      <c r="H28" s="12">
        <f>SUM(H14:H27)</f>
        <v>20998.05</v>
      </c>
    </row>
    <row r="29" spans="2:9" ht="12.75" customHeight="1" x14ac:dyDescent="0.35">
      <c r="E29" s="14">
        <v>0</v>
      </c>
      <c r="F29" s="14"/>
      <c r="G29" s="14">
        <f>SUM(G28-E28)/E28</f>
        <v>0</v>
      </c>
      <c r="H29" s="15"/>
    </row>
    <row r="30" spans="2:9" ht="12.75" customHeight="1" x14ac:dyDescent="0.35">
      <c r="C30" s="103" t="s">
        <v>108</v>
      </c>
      <c r="D30" s="103"/>
      <c r="E30" s="103"/>
      <c r="F30" s="103"/>
      <c r="G30" s="103"/>
      <c r="H30" s="103"/>
    </row>
    <row r="31" spans="2:9" ht="20.5" customHeight="1" x14ac:dyDescent="0.35">
      <c r="C31" s="103"/>
      <c r="D31" s="103"/>
      <c r="E31" s="103"/>
      <c r="F31" s="103"/>
      <c r="G31" s="103"/>
      <c r="H31" s="103"/>
    </row>
  </sheetData>
  <mergeCells count="2">
    <mergeCell ref="C2:H2"/>
    <mergeCell ref="C30:H31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FFCA8-0625-4508-BD14-67C7A6A2F808}">
  <sheetPr>
    <pageSetUpPr fitToPage="1"/>
  </sheetPr>
  <dimension ref="B2:I28"/>
  <sheetViews>
    <sheetView workbookViewId="0">
      <selection activeCell="D11" sqref="D11:D23"/>
    </sheetView>
  </sheetViews>
  <sheetFormatPr defaultColWidth="8.81640625" defaultRowHeight="14.5" x14ac:dyDescent="0.35"/>
  <cols>
    <col min="1" max="1" width="3" customWidth="1"/>
    <col min="2" max="2" width="41" bestFit="1" customWidth="1"/>
    <col min="3" max="3" width="15.36328125" customWidth="1"/>
    <col min="4" max="4" width="14.1796875" customWidth="1"/>
    <col min="5" max="5" width="11.453125" bestFit="1" customWidth="1"/>
    <col min="6" max="6" width="2.453125" bestFit="1" customWidth="1"/>
    <col min="7" max="7" width="15.453125" bestFit="1" customWidth="1"/>
    <col min="9" max="9" width="2.453125" bestFit="1" customWidth="1"/>
  </cols>
  <sheetData>
    <row r="2" spans="2:9" x14ac:dyDescent="0.35">
      <c r="B2" s="104" t="s">
        <v>78</v>
      </c>
      <c r="C2" s="104"/>
      <c r="D2" s="104"/>
      <c r="E2" s="104"/>
      <c r="F2" s="104"/>
      <c r="G2" s="104"/>
      <c r="H2" s="104"/>
      <c r="I2" s="104"/>
    </row>
    <row r="4" spans="2:9" ht="15.5" x14ac:dyDescent="0.35">
      <c r="B4" s="37" t="s">
        <v>4</v>
      </c>
      <c r="C4" s="38" t="s">
        <v>79</v>
      </c>
      <c r="D4" s="38" t="s">
        <v>80</v>
      </c>
      <c r="E4" s="39" t="s">
        <v>81</v>
      </c>
      <c r="F4" s="40"/>
      <c r="G4" s="38" t="s">
        <v>82</v>
      </c>
      <c r="H4" s="39" t="s">
        <v>83</v>
      </c>
      <c r="I4" s="41"/>
    </row>
    <row r="5" spans="2:9" x14ac:dyDescent="0.35">
      <c r="B5" s="42" t="s">
        <v>84</v>
      </c>
      <c r="C5" s="43">
        <v>55460</v>
      </c>
      <c r="D5" s="43">
        <v>49763.08</v>
      </c>
      <c r="E5" s="44">
        <v>89.73</v>
      </c>
      <c r="F5" s="45" t="s">
        <v>85</v>
      </c>
      <c r="G5" s="43">
        <v>55460</v>
      </c>
      <c r="H5" s="44">
        <f>SUM(G5/C5)*100-100</f>
        <v>0</v>
      </c>
      <c r="I5" s="45" t="s">
        <v>85</v>
      </c>
    </row>
    <row r="6" spans="2:9" ht="15" thickBot="1" x14ac:dyDescent="0.4">
      <c r="B6" s="46" t="s">
        <v>86</v>
      </c>
      <c r="C6" s="47">
        <v>200</v>
      </c>
      <c r="D6" s="47">
        <v>0</v>
      </c>
      <c r="E6" s="48"/>
      <c r="F6" s="49" t="s">
        <v>85</v>
      </c>
      <c r="G6" s="47">
        <v>200</v>
      </c>
      <c r="H6" s="48">
        <f>SUM(G6/C6)*100-100</f>
        <v>0</v>
      </c>
      <c r="I6" s="49" t="s">
        <v>85</v>
      </c>
    </row>
    <row r="7" spans="2:9" ht="15" thickTop="1" x14ac:dyDescent="0.35">
      <c r="B7" s="50"/>
      <c r="C7" s="51">
        <f>SUM(C5:C6)</f>
        <v>55660</v>
      </c>
      <c r="D7" s="51">
        <f>SUM(D5:D6)</f>
        <v>49763.08</v>
      </c>
      <c r="E7" s="52">
        <f>SUM(D7/C7)*100</f>
        <v>89.405461731943944</v>
      </c>
      <c r="F7" s="53" t="s">
        <v>85</v>
      </c>
      <c r="G7" s="51">
        <f>SUM(G5:G6)</f>
        <v>55660</v>
      </c>
      <c r="H7" s="52">
        <f>SUM(G7/C7)*100-100</f>
        <v>0</v>
      </c>
      <c r="I7" s="53" t="s">
        <v>85</v>
      </c>
    </row>
    <row r="8" spans="2:9" x14ac:dyDescent="0.35">
      <c r="C8" s="54"/>
      <c r="D8" s="54"/>
      <c r="E8" s="55"/>
      <c r="G8" s="54"/>
      <c r="H8" s="55"/>
    </row>
    <row r="9" spans="2:9" x14ac:dyDescent="0.35">
      <c r="B9" s="56"/>
      <c r="C9" s="57"/>
      <c r="D9" s="57"/>
      <c r="E9" s="58"/>
      <c r="F9" s="56"/>
      <c r="G9" s="57"/>
      <c r="H9" s="58"/>
      <c r="I9" s="56"/>
    </row>
    <row r="10" spans="2:9" x14ac:dyDescent="0.35">
      <c r="B10" s="59" t="s">
        <v>57</v>
      </c>
      <c r="C10" s="60" t="s">
        <v>87</v>
      </c>
      <c r="D10" s="60" t="s">
        <v>88</v>
      </c>
      <c r="E10" s="61" t="s">
        <v>81</v>
      </c>
      <c r="F10" s="62"/>
      <c r="G10" s="60" t="s">
        <v>89</v>
      </c>
      <c r="H10" s="63" t="s">
        <v>83</v>
      </c>
      <c r="I10" s="64"/>
    </row>
    <row r="11" spans="2:9" x14ac:dyDescent="0.35">
      <c r="B11" s="65" t="s">
        <v>90</v>
      </c>
      <c r="C11" s="43">
        <v>-3000</v>
      </c>
      <c r="D11" s="43">
        <v>-2395.0300000000002</v>
      </c>
      <c r="E11" s="44">
        <v>73.040000000000006</v>
      </c>
      <c r="F11" s="45" t="s">
        <v>85</v>
      </c>
      <c r="G11" s="54">
        <v>-3000</v>
      </c>
      <c r="H11" s="55">
        <f t="shared" ref="H11:H24" si="0">SUM(G11/C11)*100-100</f>
        <v>0</v>
      </c>
      <c r="I11" s="45" t="s">
        <v>85</v>
      </c>
    </row>
    <row r="12" spans="2:9" x14ac:dyDescent="0.35">
      <c r="B12" s="65" t="s">
        <v>91</v>
      </c>
      <c r="C12" s="43">
        <v>-233</v>
      </c>
      <c r="D12" s="43">
        <v>-169.55</v>
      </c>
      <c r="E12" s="44">
        <v>68.55</v>
      </c>
      <c r="F12" s="45" t="s">
        <v>85</v>
      </c>
      <c r="G12" s="54">
        <v>-233</v>
      </c>
      <c r="H12" s="55">
        <f t="shared" si="0"/>
        <v>0</v>
      </c>
      <c r="I12" s="45" t="s">
        <v>85</v>
      </c>
    </row>
    <row r="13" spans="2:9" x14ac:dyDescent="0.35">
      <c r="B13" s="65" t="s">
        <v>92</v>
      </c>
      <c r="C13" s="43">
        <v>-800</v>
      </c>
      <c r="D13" s="43">
        <v>-656.03</v>
      </c>
      <c r="E13" s="44">
        <v>88.77</v>
      </c>
      <c r="F13" s="45" t="s">
        <v>85</v>
      </c>
      <c r="G13" s="54">
        <v>-800</v>
      </c>
      <c r="H13" s="55">
        <f t="shared" si="0"/>
        <v>0</v>
      </c>
      <c r="I13" s="45" t="s">
        <v>85</v>
      </c>
    </row>
    <row r="14" spans="2:9" x14ac:dyDescent="0.35">
      <c r="B14" s="65" t="s">
        <v>93</v>
      </c>
      <c r="C14" s="43">
        <v>-233</v>
      </c>
      <c r="D14" s="43"/>
      <c r="E14" s="44">
        <v>38.47</v>
      </c>
      <c r="F14" s="45" t="s">
        <v>85</v>
      </c>
      <c r="G14" s="54">
        <v>-233</v>
      </c>
      <c r="H14" s="55">
        <f t="shared" si="0"/>
        <v>0</v>
      </c>
      <c r="I14" s="45" t="s">
        <v>85</v>
      </c>
    </row>
    <row r="15" spans="2:9" x14ac:dyDescent="0.35">
      <c r="B15" s="65" t="s">
        <v>94</v>
      </c>
      <c r="C15" s="43">
        <v>-70</v>
      </c>
      <c r="D15" s="43">
        <v>-25.06</v>
      </c>
      <c r="E15" s="44">
        <v>37.36</v>
      </c>
      <c r="F15" s="45" t="s">
        <v>85</v>
      </c>
      <c r="G15" s="54">
        <v>-70</v>
      </c>
      <c r="H15" s="55">
        <f t="shared" si="0"/>
        <v>0</v>
      </c>
      <c r="I15" s="45" t="s">
        <v>85</v>
      </c>
    </row>
    <row r="16" spans="2:9" x14ac:dyDescent="0.35">
      <c r="B16" s="65" t="s">
        <v>95</v>
      </c>
      <c r="C16" s="54">
        <v>-7938</v>
      </c>
      <c r="D16" s="43">
        <v>-7276</v>
      </c>
      <c r="E16" s="44">
        <v>91.67</v>
      </c>
      <c r="F16" s="45" t="s">
        <v>85</v>
      </c>
      <c r="G16" s="54">
        <v>-7938</v>
      </c>
      <c r="H16" s="55">
        <f t="shared" si="0"/>
        <v>0</v>
      </c>
      <c r="I16" s="45" t="s">
        <v>85</v>
      </c>
    </row>
    <row r="17" spans="2:9" x14ac:dyDescent="0.35">
      <c r="B17" s="65" t="s">
        <v>96</v>
      </c>
      <c r="C17" s="54">
        <v>-1000</v>
      </c>
      <c r="D17" s="43">
        <v>-116.72</v>
      </c>
      <c r="E17" s="44">
        <v>4.8899999999999997</v>
      </c>
      <c r="F17" s="45" t="s">
        <v>85</v>
      </c>
      <c r="G17" s="54">
        <v>-1000</v>
      </c>
      <c r="H17" s="55">
        <f t="shared" si="0"/>
        <v>0</v>
      </c>
      <c r="I17" s="45" t="s">
        <v>85</v>
      </c>
    </row>
    <row r="18" spans="2:9" x14ac:dyDescent="0.35">
      <c r="B18" s="65" t="s">
        <v>97</v>
      </c>
      <c r="C18" s="54">
        <v>-205</v>
      </c>
      <c r="D18" s="43">
        <v>-203.17</v>
      </c>
      <c r="E18" s="44">
        <v>85.12</v>
      </c>
      <c r="F18" s="45" t="s">
        <v>85</v>
      </c>
      <c r="G18" s="54">
        <v>-205</v>
      </c>
      <c r="H18" s="55">
        <f t="shared" si="0"/>
        <v>0</v>
      </c>
      <c r="I18" s="45" t="s">
        <v>85</v>
      </c>
    </row>
    <row r="19" spans="2:9" x14ac:dyDescent="0.35">
      <c r="B19" s="65" t="s">
        <v>98</v>
      </c>
      <c r="C19" s="54">
        <v>-12290</v>
      </c>
      <c r="D19" s="43">
        <v>-12233.06</v>
      </c>
      <c r="E19" s="44">
        <v>99.55</v>
      </c>
      <c r="F19" s="45" t="s">
        <v>85</v>
      </c>
      <c r="G19" s="54">
        <v>-12290</v>
      </c>
      <c r="H19" s="55">
        <f t="shared" si="0"/>
        <v>0</v>
      </c>
      <c r="I19" s="45" t="s">
        <v>85</v>
      </c>
    </row>
    <row r="20" spans="2:9" x14ac:dyDescent="0.35">
      <c r="B20" s="65" t="s">
        <v>99</v>
      </c>
      <c r="C20" s="54">
        <v>-5500</v>
      </c>
      <c r="D20" s="43">
        <v>-5500</v>
      </c>
      <c r="E20" s="44">
        <v>100</v>
      </c>
      <c r="F20" s="45" t="s">
        <v>85</v>
      </c>
      <c r="G20" s="54">
        <v>-5500</v>
      </c>
      <c r="H20" s="55">
        <f t="shared" si="0"/>
        <v>0</v>
      </c>
      <c r="I20" s="45" t="s">
        <v>85</v>
      </c>
    </row>
    <row r="21" spans="2:9" x14ac:dyDescent="0.35">
      <c r="B21" s="65" t="s">
        <v>100</v>
      </c>
      <c r="C21" s="54">
        <v>-20091</v>
      </c>
      <c r="D21" s="43">
        <v>-3580</v>
      </c>
      <c r="E21" s="44">
        <v>50.85</v>
      </c>
      <c r="F21" s="45" t="s">
        <v>85</v>
      </c>
      <c r="G21" s="54">
        <v>-20091</v>
      </c>
      <c r="H21" s="55">
        <f t="shared" si="0"/>
        <v>0</v>
      </c>
      <c r="I21" s="45" t="s">
        <v>85</v>
      </c>
    </row>
    <row r="22" spans="2:9" x14ac:dyDescent="0.35">
      <c r="B22" s="65" t="s">
        <v>101</v>
      </c>
      <c r="C22" s="54">
        <v>-1000</v>
      </c>
      <c r="D22" s="43">
        <v>0</v>
      </c>
      <c r="E22" s="44">
        <v>37</v>
      </c>
      <c r="F22" s="45" t="s">
        <v>85</v>
      </c>
      <c r="G22" s="54">
        <v>-1000</v>
      </c>
      <c r="H22" s="55">
        <f t="shared" si="0"/>
        <v>0</v>
      </c>
      <c r="I22" s="45" t="s">
        <v>85</v>
      </c>
    </row>
    <row r="23" spans="2:9" ht="15" thickBot="1" x14ac:dyDescent="0.4">
      <c r="B23" s="66" t="s">
        <v>102</v>
      </c>
      <c r="C23" s="67">
        <v>-3300</v>
      </c>
      <c r="D23" s="47">
        <v>-872.5</v>
      </c>
      <c r="E23" s="48">
        <v>62.42</v>
      </c>
      <c r="F23" s="49" t="s">
        <v>85</v>
      </c>
      <c r="G23" s="68">
        <v>-3300</v>
      </c>
      <c r="H23" s="55">
        <f t="shared" si="0"/>
        <v>0</v>
      </c>
      <c r="I23" s="49" t="s">
        <v>85</v>
      </c>
    </row>
    <row r="24" spans="2:9" ht="15" thickTop="1" x14ac:dyDescent="0.35">
      <c r="B24" s="69"/>
      <c r="C24" s="70">
        <f>SUM(C11:C23)</f>
        <v>-55660</v>
      </c>
      <c r="D24" s="70">
        <f>SUM(D11:D23)</f>
        <v>-33027.119999999995</v>
      </c>
      <c r="E24" s="71">
        <f>SUM(D24/C24)*100</f>
        <v>59.337261947538622</v>
      </c>
      <c r="F24" s="72" t="s">
        <v>85</v>
      </c>
      <c r="G24" s="73">
        <f>(SUM(G11:G23))</f>
        <v>-55660</v>
      </c>
      <c r="H24" s="52">
        <f t="shared" si="0"/>
        <v>0</v>
      </c>
      <c r="I24" s="72" t="s">
        <v>85</v>
      </c>
    </row>
    <row r="26" spans="2:9" x14ac:dyDescent="0.35">
      <c r="B26" t="s">
        <v>103</v>
      </c>
    </row>
    <row r="28" spans="2:9" x14ac:dyDescent="0.35">
      <c r="B28" t="s">
        <v>104</v>
      </c>
    </row>
  </sheetData>
  <mergeCells count="1">
    <mergeCell ref="B2:I2"/>
  </mergeCells>
  <printOptions horizontalCentered="1"/>
  <pageMargins left="0.45" right="0.45" top="0.75" bottom="0.75" header="0.3" footer="0.3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FD483-E462-4D4C-ABD5-54083F233701}">
  <sheetPr codeName="Sheet2">
    <pageSetUpPr fitToPage="1"/>
  </sheetPr>
  <dimension ref="B2:I31"/>
  <sheetViews>
    <sheetView workbookViewId="0">
      <selection activeCell="F34" sqref="F34"/>
    </sheetView>
  </sheetViews>
  <sheetFormatPr defaultColWidth="9.1796875" defaultRowHeight="14.5" x14ac:dyDescent="0.35"/>
  <cols>
    <col min="1" max="1" width="2.6328125" style="1" customWidth="1"/>
    <col min="2" max="2" width="23.36328125" style="1" hidden="1" customWidth="1"/>
    <col min="3" max="3" width="2.453125" style="1" customWidth="1"/>
    <col min="4" max="4" width="22.81640625" style="1" customWidth="1"/>
    <col min="5" max="11" width="14.453125" style="1" customWidth="1"/>
    <col min="12" max="16384" width="9.1796875" style="1"/>
  </cols>
  <sheetData>
    <row r="2" spans="2:8" ht="15.5" x14ac:dyDescent="0.35">
      <c r="C2" s="99" t="s">
        <v>42</v>
      </c>
      <c r="D2" s="100"/>
      <c r="E2" s="100"/>
      <c r="F2" s="100"/>
      <c r="G2" s="100"/>
      <c r="H2" s="100"/>
    </row>
    <row r="3" spans="2:8" x14ac:dyDescent="0.35">
      <c r="D3" s="2"/>
      <c r="E3" s="3"/>
      <c r="F3" s="3"/>
      <c r="G3" s="3"/>
      <c r="H3" s="4" t="s">
        <v>44</v>
      </c>
    </row>
    <row r="4" spans="2:8" x14ac:dyDescent="0.35">
      <c r="D4" s="2"/>
      <c r="E4" s="4" t="s">
        <v>0</v>
      </c>
      <c r="F4" s="4" t="s">
        <v>0</v>
      </c>
      <c r="G4" s="4" t="s">
        <v>44</v>
      </c>
      <c r="H4" s="4" t="s">
        <v>1</v>
      </c>
    </row>
    <row r="5" spans="2:8" ht="12.75" customHeight="1" x14ac:dyDescent="0.35">
      <c r="D5" s="3"/>
      <c r="E5" s="5" t="s">
        <v>2</v>
      </c>
      <c r="F5" s="4" t="s">
        <v>1</v>
      </c>
      <c r="G5" s="5" t="s">
        <v>2</v>
      </c>
      <c r="H5" s="6" t="s">
        <v>45</v>
      </c>
    </row>
    <row r="6" spans="2:8" s="7" customFormat="1" ht="12.75" customHeight="1" x14ac:dyDescent="0.35">
      <c r="B6" s="7" t="s">
        <v>3</v>
      </c>
      <c r="C6" s="8" t="s">
        <v>4</v>
      </c>
      <c r="E6" s="9"/>
      <c r="F6" s="9"/>
      <c r="G6" s="9"/>
      <c r="H6" s="9"/>
    </row>
    <row r="7" spans="2:8" ht="12.75" customHeight="1" x14ac:dyDescent="0.35">
      <c r="B7" s="1" t="s">
        <v>5</v>
      </c>
      <c r="D7" s="3" t="s">
        <v>6</v>
      </c>
      <c r="E7" s="10">
        <v>55460</v>
      </c>
      <c r="F7" s="10">
        <v>55634.52</v>
      </c>
      <c r="G7" s="10">
        <v>55460</v>
      </c>
      <c r="H7" s="10">
        <v>27442.04</v>
      </c>
    </row>
    <row r="8" spans="2:8" ht="12.75" customHeight="1" x14ac:dyDescent="0.35">
      <c r="B8" s="1" t="s">
        <v>7</v>
      </c>
      <c r="D8" s="3" t="s">
        <v>8</v>
      </c>
      <c r="E8" s="10">
        <v>200</v>
      </c>
      <c r="F8" s="10">
        <v>65.67</v>
      </c>
      <c r="G8" s="10">
        <v>200</v>
      </c>
      <c r="H8" s="10">
        <v>0</v>
      </c>
    </row>
    <row r="9" spans="2:8" ht="12.75" customHeight="1" x14ac:dyDescent="0.35">
      <c r="B9" s="1" t="s">
        <v>9</v>
      </c>
      <c r="D9" s="3" t="s">
        <v>10</v>
      </c>
      <c r="E9" s="10">
        <v>0</v>
      </c>
      <c r="F9" s="10">
        <v>0</v>
      </c>
      <c r="G9" s="10">
        <v>0</v>
      </c>
      <c r="H9" s="10">
        <v>0</v>
      </c>
    </row>
    <row r="10" spans="2:8" s="7" customFormat="1" ht="12.75" customHeight="1" x14ac:dyDescent="0.35">
      <c r="C10" s="8" t="s">
        <v>11</v>
      </c>
      <c r="E10" s="11">
        <v>55660</v>
      </c>
      <c r="F10" s="12">
        <f t="shared" ref="F10:H10" si="0">SUM(F7:F9)</f>
        <v>55700.189999999995</v>
      </c>
      <c r="G10" s="11">
        <f t="shared" si="0"/>
        <v>55660</v>
      </c>
      <c r="H10" s="12">
        <f t="shared" si="0"/>
        <v>27442.04</v>
      </c>
    </row>
    <row r="11" spans="2:8" ht="12.75" customHeight="1" x14ac:dyDescent="0.35">
      <c r="D11" s="13"/>
      <c r="E11" s="14">
        <v>0.32840095465393793</v>
      </c>
      <c r="F11" s="14"/>
      <c r="G11" s="14">
        <f>SUM(G10-E10)/E10</f>
        <v>0</v>
      </c>
      <c r="H11" s="15"/>
    </row>
    <row r="12" spans="2:8" ht="12.75" customHeight="1" x14ac:dyDescent="0.35">
      <c r="D12" s="13"/>
      <c r="E12" s="3"/>
      <c r="F12" s="3"/>
      <c r="G12" s="3"/>
      <c r="H12" s="3"/>
    </row>
    <row r="13" spans="2:8" s="7" customFormat="1" ht="12.75" customHeight="1" x14ac:dyDescent="0.35">
      <c r="C13" s="8" t="s">
        <v>12</v>
      </c>
      <c r="E13" s="9"/>
      <c r="F13" s="9"/>
      <c r="G13" s="9"/>
      <c r="H13" s="9"/>
    </row>
    <row r="14" spans="2:8" ht="12.75" customHeight="1" x14ac:dyDescent="0.35">
      <c r="B14" s="1" t="s">
        <v>13</v>
      </c>
      <c r="D14" s="3" t="s">
        <v>14</v>
      </c>
      <c r="E14" s="10">
        <v>3400</v>
      </c>
      <c r="F14" s="10">
        <v>2913.34</v>
      </c>
      <c r="G14" s="10">
        <v>3000</v>
      </c>
      <c r="H14" s="10">
        <v>1360.48</v>
      </c>
    </row>
    <row r="15" spans="2:8" ht="12.75" customHeight="1" x14ac:dyDescent="0.35">
      <c r="B15" s="1" t="s">
        <v>15</v>
      </c>
      <c r="D15" s="3" t="s">
        <v>16</v>
      </c>
      <c r="E15" s="10">
        <v>255</v>
      </c>
      <c r="F15" s="10">
        <v>203.16</v>
      </c>
      <c r="G15" s="10">
        <v>233</v>
      </c>
      <c r="H15" s="10">
        <v>97.33</v>
      </c>
    </row>
    <row r="16" spans="2:8" ht="12.75" customHeight="1" x14ac:dyDescent="0.35">
      <c r="B16" s="1" t="s">
        <v>17</v>
      </c>
      <c r="D16" s="3" t="s">
        <v>18</v>
      </c>
      <c r="E16" s="10">
        <v>675</v>
      </c>
      <c r="F16" s="10">
        <v>656.75</v>
      </c>
      <c r="G16" s="10">
        <v>800</v>
      </c>
      <c r="H16" s="10">
        <v>419.56</v>
      </c>
    </row>
    <row r="17" spans="2:9" ht="12.75" customHeight="1" x14ac:dyDescent="0.35">
      <c r="B17" s="1" t="s">
        <v>19</v>
      </c>
      <c r="D17" s="3" t="s">
        <v>20</v>
      </c>
      <c r="E17" s="10">
        <v>255</v>
      </c>
      <c r="F17" s="10">
        <v>302.54000000000002</v>
      </c>
      <c r="G17" s="10">
        <v>233</v>
      </c>
      <c r="H17" s="10">
        <v>0</v>
      </c>
    </row>
    <row r="18" spans="2:9" ht="12.75" customHeight="1" x14ac:dyDescent="0.35">
      <c r="B18" s="1" t="s">
        <v>21</v>
      </c>
      <c r="D18" s="3" t="s">
        <v>22</v>
      </c>
      <c r="E18" s="10">
        <v>70</v>
      </c>
      <c r="F18" s="10">
        <v>28.43</v>
      </c>
      <c r="G18" s="10">
        <v>70</v>
      </c>
      <c r="H18" s="10">
        <v>15.95</v>
      </c>
    </row>
    <row r="19" spans="2:9" ht="12.75" customHeight="1" x14ac:dyDescent="0.35">
      <c r="B19" s="1" t="s">
        <v>23</v>
      </c>
      <c r="D19" s="3" t="s">
        <v>24</v>
      </c>
      <c r="E19" s="10">
        <v>7938</v>
      </c>
      <c r="F19" s="10">
        <v>7938</v>
      </c>
      <c r="G19" s="10">
        <v>7938</v>
      </c>
      <c r="H19" s="10">
        <v>4630.5</v>
      </c>
      <c r="I19" s="10"/>
    </row>
    <row r="20" spans="2:9" ht="12.75" customHeight="1" x14ac:dyDescent="0.35">
      <c r="B20" s="1" t="s">
        <v>25</v>
      </c>
      <c r="D20" s="3" t="s">
        <v>26</v>
      </c>
      <c r="E20" s="10">
        <v>1000</v>
      </c>
      <c r="F20" s="10">
        <v>56.37</v>
      </c>
      <c r="G20" s="10">
        <v>1000</v>
      </c>
      <c r="H20" s="10">
        <v>116.72</v>
      </c>
    </row>
    <row r="21" spans="2:9" ht="12.75" customHeight="1" x14ac:dyDescent="0.35">
      <c r="B21" s="1" t="s">
        <v>27</v>
      </c>
      <c r="D21" s="3" t="s">
        <v>28</v>
      </c>
      <c r="E21" s="10">
        <v>205</v>
      </c>
      <c r="F21" s="10">
        <v>174.49</v>
      </c>
      <c r="G21" s="10">
        <v>205</v>
      </c>
      <c r="H21" s="10">
        <v>203.17</v>
      </c>
    </row>
    <row r="22" spans="2:9" ht="12.75" customHeight="1" x14ac:dyDescent="0.35">
      <c r="B22" s="1" t="s">
        <v>29</v>
      </c>
      <c r="D22" s="3" t="s">
        <v>30</v>
      </c>
      <c r="E22" s="10">
        <v>12295</v>
      </c>
      <c r="F22" s="10">
        <v>12239.21</v>
      </c>
      <c r="G22" s="10">
        <v>12290</v>
      </c>
      <c r="H22" s="10">
        <v>11550.7</v>
      </c>
    </row>
    <row r="23" spans="2:9" ht="12.75" customHeight="1" x14ac:dyDescent="0.35">
      <c r="B23" s="1" t="s">
        <v>31</v>
      </c>
      <c r="D23" s="3" t="s">
        <v>32</v>
      </c>
      <c r="E23" s="10">
        <v>5467</v>
      </c>
      <c r="F23" s="10">
        <v>5467</v>
      </c>
      <c r="G23" s="10">
        <v>5500</v>
      </c>
      <c r="H23" s="10">
        <v>0</v>
      </c>
    </row>
    <row r="24" spans="2:9" ht="12.75" customHeight="1" x14ac:dyDescent="0.35">
      <c r="B24" s="1" t="s">
        <v>33</v>
      </c>
      <c r="D24" s="3" t="s">
        <v>34</v>
      </c>
      <c r="E24" s="10">
        <v>20100</v>
      </c>
      <c r="F24" s="10">
        <v>17103</v>
      </c>
      <c r="G24" s="10">
        <v>20091</v>
      </c>
      <c r="H24" s="10">
        <v>2680</v>
      </c>
    </row>
    <row r="25" spans="2:9" ht="12.75" customHeight="1" x14ac:dyDescent="0.35">
      <c r="B25" s="1" t="s">
        <v>35</v>
      </c>
      <c r="D25" s="3" t="s">
        <v>36</v>
      </c>
      <c r="E25" s="10">
        <v>1000</v>
      </c>
      <c r="F25" s="10">
        <v>370</v>
      </c>
      <c r="G25" s="10">
        <v>1000</v>
      </c>
      <c r="H25" s="10">
        <v>0</v>
      </c>
    </row>
    <row r="26" spans="2:9" ht="12.75" customHeight="1" x14ac:dyDescent="0.35">
      <c r="B26" s="1" t="s">
        <v>37</v>
      </c>
      <c r="D26" s="3" t="s">
        <v>38</v>
      </c>
      <c r="E26" s="10">
        <v>3000</v>
      </c>
      <c r="F26" s="10">
        <v>3247.5</v>
      </c>
      <c r="G26" s="10">
        <v>3300</v>
      </c>
      <c r="H26" s="10">
        <v>872.5</v>
      </c>
    </row>
    <row r="27" spans="2:9" ht="12.75" customHeight="1" x14ac:dyDescent="0.35">
      <c r="B27" s="1" t="s">
        <v>39</v>
      </c>
      <c r="D27" s="3" t="s">
        <v>40</v>
      </c>
      <c r="E27" s="10">
        <v>0</v>
      </c>
      <c r="F27" s="10">
        <v>0</v>
      </c>
      <c r="G27" s="10">
        <v>0</v>
      </c>
      <c r="H27" s="10">
        <v>0</v>
      </c>
    </row>
    <row r="28" spans="2:9" s="7" customFormat="1" ht="12.75" customHeight="1" x14ac:dyDescent="0.35">
      <c r="C28" s="8" t="s">
        <v>41</v>
      </c>
      <c r="E28" s="11">
        <v>55660</v>
      </c>
      <c r="F28" s="12">
        <f>SUM(F14:F27)</f>
        <v>50699.79</v>
      </c>
      <c r="G28" s="11">
        <f>SUM(G14:G27)</f>
        <v>55660</v>
      </c>
      <c r="H28" s="12">
        <f>SUM(H14:H27)</f>
        <v>21946.91</v>
      </c>
    </row>
    <row r="29" spans="2:9" ht="12.75" customHeight="1" x14ac:dyDescent="0.35">
      <c r="E29" s="14">
        <v>0.32840095465393793</v>
      </c>
      <c r="F29" s="14"/>
      <c r="G29" s="14">
        <f>SUM(G28-E28)/E28</f>
        <v>0</v>
      </c>
      <c r="H29" s="15"/>
    </row>
    <row r="30" spans="2:9" ht="12.75" customHeight="1" x14ac:dyDescent="0.35">
      <c r="C30" s="103" t="s">
        <v>43</v>
      </c>
      <c r="D30" s="103"/>
      <c r="E30" s="103"/>
      <c r="F30" s="103"/>
      <c r="G30" s="103"/>
      <c r="H30" s="103"/>
    </row>
    <row r="31" spans="2:9" x14ac:dyDescent="0.35">
      <c r="C31" s="103"/>
      <c r="D31" s="103"/>
      <c r="E31" s="103"/>
      <c r="F31" s="103"/>
      <c r="G31" s="103"/>
      <c r="H31" s="103"/>
    </row>
  </sheetData>
  <mergeCells count="2">
    <mergeCell ref="C2:H2"/>
    <mergeCell ref="C30:H31"/>
  </mergeCells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517E9-3CDA-4A43-8C5B-84EBFFD0F843}">
  <sheetPr>
    <pageSetUpPr fitToPage="1"/>
  </sheetPr>
  <dimension ref="B2:M31"/>
  <sheetViews>
    <sheetView workbookViewId="0">
      <selection activeCell="F37" sqref="F37"/>
    </sheetView>
  </sheetViews>
  <sheetFormatPr defaultColWidth="9.1796875" defaultRowHeight="14.5" x14ac:dyDescent="0.35"/>
  <cols>
    <col min="1" max="1" width="2.6328125" style="1" customWidth="1"/>
    <col min="2" max="2" width="23.36328125" style="1" hidden="1" customWidth="1"/>
    <col min="3" max="3" width="2.453125" style="1" customWidth="1"/>
    <col min="4" max="4" width="22.81640625" style="1" customWidth="1"/>
    <col min="5" max="15" width="14.453125" style="1" customWidth="1"/>
    <col min="16" max="16384" width="9.1796875" style="1"/>
  </cols>
  <sheetData>
    <row r="2" spans="2:9" ht="15.5" x14ac:dyDescent="0.35">
      <c r="C2" s="99" t="s">
        <v>47</v>
      </c>
      <c r="D2" s="100"/>
      <c r="E2" s="100"/>
      <c r="F2" s="100"/>
      <c r="G2" s="100"/>
      <c r="H2" s="100"/>
      <c r="I2" s="100"/>
    </row>
    <row r="3" spans="2:9" x14ac:dyDescent="0.35">
      <c r="D3" s="2"/>
      <c r="E3" s="3"/>
      <c r="F3" s="3"/>
      <c r="G3" s="3"/>
      <c r="H3" s="4" t="s">
        <v>74</v>
      </c>
      <c r="I3" s="4"/>
    </row>
    <row r="4" spans="2:9" x14ac:dyDescent="0.35">
      <c r="D4" s="2"/>
      <c r="E4" s="4" t="s">
        <v>50</v>
      </c>
      <c r="F4" s="4" t="s">
        <v>50</v>
      </c>
      <c r="G4" s="4" t="s">
        <v>74</v>
      </c>
      <c r="H4" s="4" t="s">
        <v>1</v>
      </c>
      <c r="I4" s="4" t="s">
        <v>0</v>
      </c>
    </row>
    <row r="5" spans="2:9" ht="12.75" customHeight="1" x14ac:dyDescent="0.35">
      <c r="D5" s="3"/>
      <c r="E5" s="5" t="s">
        <v>2</v>
      </c>
      <c r="F5" s="4" t="s">
        <v>1</v>
      </c>
      <c r="G5" s="5" t="s">
        <v>2</v>
      </c>
      <c r="H5" s="6" t="s">
        <v>105</v>
      </c>
      <c r="I5" s="4" t="s">
        <v>76</v>
      </c>
    </row>
    <row r="6" spans="2:9" s="7" customFormat="1" ht="12.75" customHeight="1" x14ac:dyDescent="0.35">
      <c r="B6" s="7" t="s">
        <v>3</v>
      </c>
      <c r="C6" s="8" t="s">
        <v>4</v>
      </c>
      <c r="E6" s="9"/>
      <c r="F6" s="9"/>
      <c r="G6" s="9"/>
      <c r="H6" s="9"/>
      <c r="I6" s="9"/>
    </row>
    <row r="7" spans="2:9" ht="12.75" customHeight="1" x14ac:dyDescent="0.35">
      <c r="B7" s="1" t="s">
        <v>5</v>
      </c>
      <c r="D7" s="3" t="s">
        <v>6</v>
      </c>
      <c r="E7" s="10">
        <v>40500</v>
      </c>
      <c r="F7" s="10">
        <v>43717.8</v>
      </c>
      <c r="G7" s="10">
        <v>41500</v>
      </c>
      <c r="H7" s="10">
        <v>21130.49</v>
      </c>
      <c r="I7" s="10">
        <v>42000</v>
      </c>
    </row>
    <row r="8" spans="2:9" ht="12.75" customHeight="1" x14ac:dyDescent="0.35">
      <c r="B8" s="1" t="s">
        <v>7</v>
      </c>
      <c r="D8" s="3" t="s">
        <v>8</v>
      </c>
      <c r="E8" s="10">
        <v>420</v>
      </c>
      <c r="F8" s="10">
        <v>121.87</v>
      </c>
      <c r="G8" s="10">
        <v>400</v>
      </c>
      <c r="H8" s="10">
        <v>0</v>
      </c>
      <c r="I8" s="10">
        <v>200</v>
      </c>
    </row>
    <row r="9" spans="2:9" ht="12.75" customHeight="1" x14ac:dyDescent="0.35">
      <c r="B9" s="1" t="s">
        <v>9</v>
      </c>
      <c r="D9" s="3" t="s">
        <v>10</v>
      </c>
      <c r="E9" s="10">
        <v>0</v>
      </c>
      <c r="F9" s="10">
        <v>250</v>
      </c>
      <c r="G9" s="10">
        <v>0</v>
      </c>
      <c r="H9" s="10">
        <v>0</v>
      </c>
      <c r="I9" s="10">
        <v>200</v>
      </c>
    </row>
    <row r="10" spans="2:9" s="7" customFormat="1" ht="12.75" customHeight="1" x14ac:dyDescent="0.35">
      <c r="C10" s="8" t="s">
        <v>11</v>
      </c>
      <c r="E10" s="11">
        <f>SUM(E7:E9)</f>
        <v>40920</v>
      </c>
      <c r="F10" s="12">
        <f>SUM(F7:F9)</f>
        <v>44089.670000000006</v>
      </c>
      <c r="G10" s="11">
        <f>SUM(G7:G9)</f>
        <v>41900</v>
      </c>
      <c r="H10" s="12">
        <f>SUM(H7:H9)</f>
        <v>21130.49</v>
      </c>
      <c r="I10" s="11">
        <f>SUM(I7:I9)</f>
        <v>42400</v>
      </c>
    </row>
    <row r="11" spans="2:9" ht="12.75" customHeight="1" x14ac:dyDescent="0.35">
      <c r="D11" s="13"/>
      <c r="E11" s="75">
        <v>1.0999999999999999E-2</v>
      </c>
      <c r="F11" s="75"/>
      <c r="G11" s="75">
        <f>SUM(G10-E10)/E10</f>
        <v>2.3949169110459433E-2</v>
      </c>
      <c r="H11" s="76"/>
      <c r="I11" s="75">
        <f>SUM(I10-G10)/G10</f>
        <v>1.1933174224343675E-2</v>
      </c>
    </row>
    <row r="12" spans="2:9" ht="12.75" customHeight="1" x14ac:dyDescent="0.35">
      <c r="D12" s="13"/>
      <c r="E12" s="3"/>
      <c r="F12" s="3"/>
      <c r="G12" s="3"/>
      <c r="H12" s="3"/>
      <c r="I12" s="3"/>
    </row>
    <row r="13" spans="2:9" s="7" customFormat="1" ht="12.75" customHeight="1" x14ac:dyDescent="0.35">
      <c r="C13" s="8" t="s">
        <v>12</v>
      </c>
      <c r="E13" s="9"/>
      <c r="F13" s="9"/>
      <c r="G13" s="9"/>
      <c r="H13" s="9"/>
      <c r="I13" s="9"/>
    </row>
    <row r="14" spans="2:9" ht="12.75" customHeight="1" x14ac:dyDescent="0.35">
      <c r="B14" s="1" t="s">
        <v>13</v>
      </c>
      <c r="D14" s="3" t="s">
        <v>14</v>
      </c>
      <c r="E14" s="10">
        <v>2724</v>
      </c>
      <c r="F14" s="10">
        <v>2529.35</v>
      </c>
      <c r="G14" s="10">
        <v>2815</v>
      </c>
      <c r="H14" s="10">
        <v>1346.75</v>
      </c>
      <c r="I14" s="10">
        <v>2800</v>
      </c>
    </row>
    <row r="15" spans="2:9" ht="12.75" customHeight="1" x14ac:dyDescent="0.35">
      <c r="B15" s="1" t="s">
        <v>15</v>
      </c>
      <c r="D15" s="3" t="s">
        <v>16</v>
      </c>
      <c r="E15" s="10">
        <f>0.0765*E14</f>
        <v>208.386</v>
      </c>
      <c r="F15" s="10">
        <v>189.08</v>
      </c>
      <c r="G15" s="10">
        <v>220</v>
      </c>
      <c r="H15" s="10">
        <v>94.76</v>
      </c>
      <c r="I15" s="10">
        <v>200</v>
      </c>
    </row>
    <row r="16" spans="2:9" ht="12.75" customHeight="1" x14ac:dyDescent="0.35">
      <c r="B16" s="1" t="s">
        <v>17</v>
      </c>
      <c r="D16" s="3" t="s">
        <v>18</v>
      </c>
      <c r="E16" s="10">
        <v>997</v>
      </c>
      <c r="F16" s="10">
        <v>569.24</v>
      </c>
      <c r="G16" s="10">
        <v>600</v>
      </c>
      <c r="H16" s="10">
        <v>299.19</v>
      </c>
      <c r="I16" s="10">
        <v>650</v>
      </c>
    </row>
    <row r="17" spans="2:13" ht="12.75" customHeight="1" x14ac:dyDescent="0.35">
      <c r="B17" s="1" t="s">
        <v>19</v>
      </c>
      <c r="D17" s="3" t="s">
        <v>20</v>
      </c>
      <c r="E17" s="10">
        <f>E14*0.075</f>
        <v>204.29999999999998</v>
      </c>
      <c r="F17" s="10">
        <v>126.71</v>
      </c>
      <c r="G17" s="10">
        <v>110</v>
      </c>
      <c r="H17" s="10">
        <v>0</v>
      </c>
      <c r="I17" s="10">
        <v>200</v>
      </c>
    </row>
    <row r="18" spans="2:13" ht="12.75" customHeight="1" x14ac:dyDescent="0.35">
      <c r="B18" s="1" t="s">
        <v>21</v>
      </c>
      <c r="D18" s="3" t="s">
        <v>22</v>
      </c>
      <c r="E18" s="10">
        <f>E14*0.011</f>
        <v>29.963999999999999</v>
      </c>
      <c r="F18" s="10">
        <v>63.07</v>
      </c>
      <c r="G18" s="10">
        <v>70</v>
      </c>
      <c r="H18" s="10">
        <v>14.8</v>
      </c>
      <c r="I18" s="10">
        <v>30</v>
      </c>
    </row>
    <row r="19" spans="2:13" ht="12.75" customHeight="1" x14ac:dyDescent="0.35">
      <c r="B19" s="1" t="s">
        <v>23</v>
      </c>
      <c r="D19" s="3" t="s">
        <v>24</v>
      </c>
      <c r="E19" s="10">
        <f>9450*1.015</f>
        <v>9591.7499999999982</v>
      </c>
      <c r="F19" s="10">
        <v>9450</v>
      </c>
      <c r="G19" s="10">
        <v>9450</v>
      </c>
      <c r="H19" s="10">
        <v>4725</v>
      </c>
      <c r="I19" s="10">
        <f>+((6300*12)*0.125)*1.05</f>
        <v>9922.5</v>
      </c>
      <c r="M19" s="10"/>
    </row>
    <row r="20" spans="2:13" ht="12.75" customHeight="1" x14ac:dyDescent="0.35">
      <c r="B20" s="1" t="s">
        <v>25</v>
      </c>
      <c r="D20" s="3" t="s">
        <v>26</v>
      </c>
      <c r="E20" s="10">
        <v>800</v>
      </c>
      <c r="F20" s="10">
        <v>1185.1199999999999</v>
      </c>
      <c r="G20" s="10">
        <v>1000</v>
      </c>
      <c r="H20" s="10">
        <v>23.28</v>
      </c>
      <c r="I20" s="10">
        <v>1000</v>
      </c>
    </row>
    <row r="21" spans="2:13" ht="12.75" customHeight="1" x14ac:dyDescent="0.35">
      <c r="B21" s="1" t="s">
        <v>27</v>
      </c>
      <c r="D21" s="3" t="s">
        <v>28</v>
      </c>
      <c r="E21" s="10">
        <v>202</v>
      </c>
      <c r="F21" s="10">
        <v>186.04</v>
      </c>
      <c r="G21" s="10">
        <v>205</v>
      </c>
      <c r="H21" s="10">
        <v>191.35</v>
      </c>
      <c r="I21" s="10">
        <f>+'[1]VLCT PACIF'!M14</f>
        <v>213.19239613200651</v>
      </c>
    </row>
    <row r="22" spans="2:13" ht="12.75" customHeight="1" x14ac:dyDescent="0.35">
      <c r="B22" s="1" t="s">
        <v>29</v>
      </c>
      <c r="D22" s="3" t="s">
        <v>30</v>
      </c>
      <c r="E22" s="10">
        <v>11874</v>
      </c>
      <c r="F22" s="10">
        <v>1527.33</v>
      </c>
      <c r="G22" s="10">
        <v>11886</v>
      </c>
      <c r="H22" s="10">
        <v>10790.7</v>
      </c>
      <c r="I22" s="10">
        <v>12300</v>
      </c>
    </row>
    <row r="23" spans="2:13" ht="12.75" customHeight="1" x14ac:dyDescent="0.35">
      <c r="B23" s="1" t="s">
        <v>31</v>
      </c>
      <c r="D23" s="3" t="s">
        <v>32</v>
      </c>
      <c r="E23" s="10">
        <v>169</v>
      </c>
      <c r="F23" s="10">
        <v>169</v>
      </c>
      <c r="G23" s="10">
        <v>444</v>
      </c>
      <c r="H23" s="10">
        <v>0</v>
      </c>
      <c r="I23" s="10">
        <v>500</v>
      </c>
    </row>
    <row r="24" spans="2:13" ht="12.75" customHeight="1" x14ac:dyDescent="0.35">
      <c r="B24" s="1" t="s">
        <v>33</v>
      </c>
      <c r="D24" s="3" t="s">
        <v>34</v>
      </c>
      <c r="E24" s="10">
        <f>4400+5100+1600</f>
        <v>11100</v>
      </c>
      <c r="F24" s="10">
        <v>10352.02</v>
      </c>
      <c r="G24" s="10">
        <f>4400+5100+1600</f>
        <v>11100</v>
      </c>
      <c r="H24" s="10">
        <v>6525.64</v>
      </c>
      <c r="I24" s="10">
        <f>11100+184</f>
        <v>11284</v>
      </c>
    </row>
    <row r="25" spans="2:13" ht="12.75" customHeight="1" x14ac:dyDescent="0.35">
      <c r="B25" s="1" t="s">
        <v>35</v>
      </c>
      <c r="D25" s="3" t="s">
        <v>36</v>
      </c>
      <c r="E25" s="10">
        <v>1200</v>
      </c>
      <c r="F25" s="10">
        <v>612</v>
      </c>
      <c r="G25" s="10">
        <v>1000</v>
      </c>
      <c r="H25" s="10">
        <v>0</v>
      </c>
      <c r="I25" s="10">
        <v>1200</v>
      </c>
    </row>
    <row r="26" spans="2:13" ht="12.75" customHeight="1" x14ac:dyDescent="0.35">
      <c r="B26" s="1" t="s">
        <v>37</v>
      </c>
      <c r="D26" s="3" t="s">
        <v>38</v>
      </c>
      <c r="E26" s="10">
        <v>1800</v>
      </c>
      <c r="F26" s="10">
        <v>8932.5</v>
      </c>
      <c r="G26" s="10">
        <v>3000</v>
      </c>
      <c r="H26" s="10">
        <v>872.5</v>
      </c>
      <c r="I26" s="10">
        <v>2000</v>
      </c>
    </row>
    <row r="27" spans="2:13" ht="12.75" customHeight="1" x14ac:dyDescent="0.35">
      <c r="B27" s="1" t="s">
        <v>39</v>
      </c>
      <c r="D27" s="3" t="s">
        <v>40</v>
      </c>
      <c r="E27" s="10">
        <v>20</v>
      </c>
      <c r="F27" s="10">
        <v>15.5</v>
      </c>
      <c r="G27" s="10">
        <v>0</v>
      </c>
      <c r="H27" s="10">
        <v>0</v>
      </c>
      <c r="I27" s="10">
        <v>100</v>
      </c>
    </row>
    <row r="28" spans="2:13" s="7" customFormat="1" ht="12.75" customHeight="1" x14ac:dyDescent="0.35">
      <c r="C28" s="8" t="s">
        <v>41</v>
      </c>
      <c r="E28" s="11">
        <f>SUM(E14:E27)</f>
        <v>40920.399999999994</v>
      </c>
      <c r="F28" s="12">
        <f>SUM(F14:F27)</f>
        <v>35906.959999999999</v>
      </c>
      <c r="G28" s="11">
        <f>SUM(G14:G27)</f>
        <v>41900</v>
      </c>
      <c r="H28" s="12">
        <f>SUM(H14:H27)</f>
        <v>24883.97</v>
      </c>
      <c r="I28" s="11">
        <f>SUM(I14:I27)</f>
        <v>42399.692396132006</v>
      </c>
    </row>
    <row r="29" spans="2:13" ht="12.75" customHeight="1" x14ac:dyDescent="0.35">
      <c r="E29" s="75">
        <v>1.0999999999999999E-2</v>
      </c>
      <c r="F29" s="75"/>
      <c r="G29" s="75">
        <f>SUM(G28-E28)/E28</f>
        <v>2.3939159930010605E-2</v>
      </c>
      <c r="H29" s="76"/>
      <c r="I29" s="75">
        <f>SUM(I28-G28)/G28</f>
        <v>1.1925832843245972E-2</v>
      </c>
    </row>
    <row r="30" spans="2:13" ht="12.75" customHeight="1" x14ac:dyDescent="0.35"/>
    <row r="31" spans="2:13" x14ac:dyDescent="0.35">
      <c r="I31" s="74"/>
    </row>
  </sheetData>
  <mergeCells count="1">
    <mergeCell ref="C2:I2"/>
  </mergeCells>
  <printOptions horizontalCentered="1"/>
  <pageMargins left="0.7" right="0.7" top="0.75" bottom="0.75" header="0.3" footer="0.3"/>
  <pageSetup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AD501-FCCF-4522-A94F-E5C471F65317}">
  <sheetPr codeName="Sheet4">
    <pageSetUpPr fitToPage="1"/>
  </sheetPr>
  <dimension ref="B2:N31"/>
  <sheetViews>
    <sheetView workbookViewId="0">
      <selection activeCell="J7" sqref="J7:J9"/>
    </sheetView>
  </sheetViews>
  <sheetFormatPr defaultColWidth="8.81640625" defaultRowHeight="14.5" x14ac:dyDescent="0.35"/>
  <cols>
    <col min="1" max="1" width="2.6328125" customWidth="1"/>
    <col min="2" max="2" width="23.36328125" customWidth="1"/>
    <col min="3" max="3" width="2.453125" customWidth="1"/>
    <col min="4" max="4" width="22.81640625" customWidth="1"/>
    <col min="5" max="16" width="14.453125" customWidth="1"/>
  </cols>
  <sheetData>
    <row r="2" spans="2:10" ht="15.5" x14ac:dyDescent="0.35">
      <c r="C2" s="105" t="s">
        <v>47</v>
      </c>
      <c r="D2" s="106"/>
      <c r="E2" s="106"/>
      <c r="F2" s="106"/>
      <c r="G2" s="106"/>
      <c r="H2" s="106"/>
      <c r="I2" s="106"/>
    </row>
    <row r="3" spans="2:10" x14ac:dyDescent="0.35">
      <c r="D3" s="18"/>
      <c r="E3" s="17"/>
      <c r="F3" s="17"/>
      <c r="G3" s="17"/>
      <c r="H3" s="19" t="s">
        <v>50</v>
      </c>
      <c r="I3" s="19"/>
    </row>
    <row r="4" spans="2:10" x14ac:dyDescent="0.35">
      <c r="D4" s="18"/>
      <c r="E4" s="19" t="s">
        <v>49</v>
      </c>
      <c r="F4" s="19" t="s">
        <v>49</v>
      </c>
      <c r="G4" s="19" t="s">
        <v>50</v>
      </c>
      <c r="H4" s="19" t="s">
        <v>1</v>
      </c>
      <c r="I4" s="19" t="s">
        <v>74</v>
      </c>
    </row>
    <row r="5" spans="2:10" ht="12.75" customHeight="1" x14ac:dyDescent="0.35">
      <c r="D5" s="17"/>
      <c r="E5" s="19" t="s">
        <v>2</v>
      </c>
      <c r="F5" s="19" t="s">
        <v>1</v>
      </c>
      <c r="G5" s="25" t="s">
        <v>2</v>
      </c>
      <c r="H5" s="26" t="s">
        <v>75</v>
      </c>
      <c r="I5" s="19" t="s">
        <v>76</v>
      </c>
    </row>
    <row r="6" spans="2:10" s="27" customFormat="1" ht="12.75" customHeight="1" x14ac:dyDescent="0.35">
      <c r="B6" s="27" t="s">
        <v>3</v>
      </c>
      <c r="C6" s="28" t="s">
        <v>4</v>
      </c>
      <c r="E6" s="29"/>
      <c r="F6" s="29"/>
      <c r="G6" s="29"/>
      <c r="H6" s="29"/>
      <c r="I6" s="29"/>
    </row>
    <row r="7" spans="2:10" ht="12.75" customHeight="1" x14ac:dyDescent="0.35">
      <c r="B7" t="s">
        <v>5</v>
      </c>
      <c r="D7" s="17" t="s">
        <v>6</v>
      </c>
      <c r="E7" s="21">
        <v>40174</v>
      </c>
      <c r="F7" s="21">
        <v>35847.839999999997</v>
      </c>
      <c r="G7" s="21">
        <v>40500</v>
      </c>
      <c r="H7" s="21">
        <v>20008.599999999999</v>
      </c>
      <c r="I7" s="21">
        <v>41280</v>
      </c>
      <c r="J7" s="30">
        <f>SUM(I7-G7)/G7</f>
        <v>1.9259259259259261E-2</v>
      </c>
    </row>
    <row r="8" spans="2:10" ht="12.75" customHeight="1" x14ac:dyDescent="0.35">
      <c r="B8" t="s">
        <v>7</v>
      </c>
      <c r="D8" s="17" t="s">
        <v>8</v>
      </c>
      <c r="E8" s="21">
        <v>200</v>
      </c>
      <c r="F8" s="21">
        <v>553.54</v>
      </c>
      <c r="G8" s="21">
        <v>420</v>
      </c>
      <c r="H8" s="21">
        <v>0</v>
      </c>
      <c r="I8" s="21">
        <v>600</v>
      </c>
      <c r="J8" s="31">
        <f>SUM(I8-G8)/G8</f>
        <v>0.42857142857142855</v>
      </c>
    </row>
    <row r="9" spans="2:10" ht="12.75" customHeight="1" x14ac:dyDescent="0.35">
      <c r="B9" t="s">
        <v>9</v>
      </c>
      <c r="D9" s="17" t="s">
        <v>10</v>
      </c>
      <c r="E9" s="21">
        <v>100</v>
      </c>
      <c r="F9" s="21">
        <v>250</v>
      </c>
      <c r="G9" s="21">
        <v>0</v>
      </c>
      <c r="H9" s="21">
        <v>250</v>
      </c>
      <c r="I9" s="21">
        <v>250</v>
      </c>
      <c r="J9" s="31"/>
    </row>
    <row r="10" spans="2:10" s="27" customFormat="1" ht="12.75" customHeight="1" x14ac:dyDescent="0.35">
      <c r="C10" s="28" t="s">
        <v>11</v>
      </c>
      <c r="E10" s="32">
        <f t="shared" ref="E10:I10" si="0">SUM(E7:E9)</f>
        <v>40474</v>
      </c>
      <c r="F10" s="32">
        <f t="shared" si="0"/>
        <v>36651.379999999997</v>
      </c>
      <c r="G10" s="33">
        <f t="shared" si="0"/>
        <v>40920</v>
      </c>
      <c r="H10" s="32">
        <f t="shared" si="0"/>
        <v>20258.599999999999</v>
      </c>
      <c r="I10" s="33">
        <f t="shared" si="0"/>
        <v>42130</v>
      </c>
    </row>
    <row r="11" spans="2:10" ht="12.75" customHeight="1" x14ac:dyDescent="0.35">
      <c r="D11" s="20"/>
      <c r="E11" s="34">
        <v>7.3599999999999999E-2</v>
      </c>
      <c r="F11" s="34"/>
      <c r="G11" s="34">
        <f>SUM(G10-E10)/E10</f>
        <v>1.1019419874487325E-2</v>
      </c>
      <c r="H11" s="35"/>
      <c r="I11" s="34">
        <f>SUM(I10-G10)/G10</f>
        <v>2.9569892473118281E-2</v>
      </c>
    </row>
    <row r="12" spans="2:10" ht="12.75" customHeight="1" x14ac:dyDescent="0.35">
      <c r="D12" s="20"/>
      <c r="E12" s="17"/>
      <c r="F12" s="17"/>
      <c r="G12" s="17"/>
      <c r="H12" s="17"/>
      <c r="I12" s="17"/>
    </row>
    <row r="13" spans="2:10" s="27" customFormat="1" ht="12.75" customHeight="1" x14ac:dyDescent="0.35">
      <c r="C13" s="28" t="s">
        <v>12</v>
      </c>
      <c r="E13" s="29"/>
      <c r="F13" s="29"/>
      <c r="G13" s="29"/>
      <c r="H13" s="29"/>
      <c r="I13" s="29"/>
    </row>
    <row r="14" spans="2:10" ht="12.75" customHeight="1" x14ac:dyDescent="0.35">
      <c r="B14" t="s">
        <v>13</v>
      </c>
      <c r="D14" s="17" t="s">
        <v>14</v>
      </c>
      <c r="E14" s="21">
        <v>2644</v>
      </c>
      <c r="F14" s="21">
        <v>2663.19</v>
      </c>
      <c r="G14" s="21">
        <v>2724</v>
      </c>
      <c r="H14" s="21">
        <v>1360.23</v>
      </c>
      <c r="I14" s="21">
        <v>2800</v>
      </c>
      <c r="J14" s="30">
        <f t="shared" ref="J14:J27" si="1">SUM(I14-G14)/G14</f>
        <v>2.7900146842878122E-2</v>
      </c>
    </row>
    <row r="15" spans="2:10" ht="12.75" customHeight="1" x14ac:dyDescent="0.35">
      <c r="B15" t="s">
        <v>15</v>
      </c>
      <c r="D15" s="17" t="s">
        <v>16</v>
      </c>
      <c r="E15" s="21">
        <f>0.0765*E14</f>
        <v>202.26599999999999</v>
      </c>
      <c r="F15" s="21">
        <v>201.85</v>
      </c>
      <c r="G15" s="21">
        <f>0.0765*G14</f>
        <v>208.386</v>
      </c>
      <c r="H15" s="21">
        <v>105.49</v>
      </c>
      <c r="I15" s="21">
        <v>215</v>
      </c>
      <c r="J15" s="31">
        <f t="shared" si="1"/>
        <v>3.1739176336222225E-2</v>
      </c>
    </row>
    <row r="16" spans="2:10" ht="12.75" customHeight="1" x14ac:dyDescent="0.35">
      <c r="B16" t="s">
        <v>17</v>
      </c>
      <c r="D16" s="17" t="s">
        <v>18</v>
      </c>
      <c r="E16" s="21">
        <f>353.25+176.62</f>
        <v>529.87</v>
      </c>
      <c r="F16" s="21">
        <v>488.74</v>
      </c>
      <c r="G16" s="21">
        <v>997</v>
      </c>
      <c r="H16" s="21">
        <v>329.7</v>
      </c>
      <c r="I16" s="21">
        <v>1000</v>
      </c>
      <c r="J16" s="31">
        <f t="shared" si="1"/>
        <v>3.009027081243731E-3</v>
      </c>
    </row>
    <row r="17" spans="2:14" ht="12.75" customHeight="1" x14ac:dyDescent="0.35">
      <c r="B17" t="s">
        <v>19</v>
      </c>
      <c r="D17" s="17" t="s">
        <v>20</v>
      </c>
      <c r="E17" s="21">
        <v>194</v>
      </c>
      <c r="F17" s="21">
        <v>177.34</v>
      </c>
      <c r="G17" s="21">
        <f>G14*0.075</f>
        <v>204.29999999999998</v>
      </c>
      <c r="H17" s="21">
        <v>0</v>
      </c>
      <c r="I17" s="21">
        <f>I14*0.075</f>
        <v>210</v>
      </c>
      <c r="J17" s="31">
        <f t="shared" si="1"/>
        <v>2.7900146842878205E-2</v>
      </c>
    </row>
    <row r="18" spans="2:14" ht="12.75" customHeight="1" x14ac:dyDescent="0.35">
      <c r="B18" t="s">
        <v>21</v>
      </c>
      <c r="D18" s="17" t="s">
        <v>22</v>
      </c>
      <c r="E18" s="21">
        <v>30</v>
      </c>
      <c r="F18" s="21">
        <v>26.94</v>
      </c>
      <c r="G18" s="21">
        <f>G14*0.011</f>
        <v>29.963999999999999</v>
      </c>
      <c r="H18" s="21">
        <v>11.44</v>
      </c>
      <c r="I18" s="21">
        <v>30</v>
      </c>
      <c r="J18" s="31">
        <f t="shared" si="1"/>
        <v>1.2014417300761368E-3</v>
      </c>
    </row>
    <row r="19" spans="2:14" ht="12.75" customHeight="1" x14ac:dyDescent="0.35">
      <c r="B19" t="s">
        <v>23</v>
      </c>
      <c r="D19" s="17" t="s">
        <v>24</v>
      </c>
      <c r="E19" s="21">
        <v>9450</v>
      </c>
      <c r="F19" s="21">
        <v>9000</v>
      </c>
      <c r="G19" s="21">
        <f>9450*1.015</f>
        <v>9591.7499999999982</v>
      </c>
      <c r="H19" s="21">
        <v>4725</v>
      </c>
      <c r="I19" s="21">
        <v>9750</v>
      </c>
      <c r="J19" s="31">
        <f t="shared" si="1"/>
        <v>1.6498553444366446E-2</v>
      </c>
      <c r="L19" t="s">
        <v>77</v>
      </c>
      <c r="N19" s="21">
        <f>G19*1.015</f>
        <v>9735.6262499999975</v>
      </c>
    </row>
    <row r="20" spans="2:14" ht="12.75" customHeight="1" x14ac:dyDescent="0.35">
      <c r="B20" t="s">
        <v>25</v>
      </c>
      <c r="D20" s="17" t="s">
        <v>26</v>
      </c>
      <c r="E20" s="21">
        <v>500</v>
      </c>
      <c r="F20" s="21">
        <v>721.12</v>
      </c>
      <c r="G20" s="21">
        <v>800</v>
      </c>
      <c r="H20" s="21">
        <v>593.87</v>
      </c>
      <c r="I20" s="21">
        <v>800</v>
      </c>
      <c r="J20" s="31">
        <f t="shared" si="1"/>
        <v>0</v>
      </c>
    </row>
    <row r="21" spans="2:14" ht="12.75" customHeight="1" x14ac:dyDescent="0.35">
      <c r="B21" t="s">
        <v>27</v>
      </c>
      <c r="D21" s="17" t="s">
        <v>28</v>
      </c>
      <c r="E21" s="21">
        <v>182</v>
      </c>
      <c r="F21" s="21">
        <v>180.78</v>
      </c>
      <c r="G21" s="21">
        <v>202</v>
      </c>
      <c r="H21" s="21">
        <v>186.04</v>
      </c>
      <c r="I21" s="21">
        <v>200</v>
      </c>
      <c r="J21" s="31">
        <f t="shared" si="1"/>
        <v>-9.9009900990099011E-3</v>
      </c>
    </row>
    <row r="22" spans="2:14" ht="12.75" customHeight="1" x14ac:dyDescent="0.35">
      <c r="B22" t="s">
        <v>29</v>
      </c>
      <c r="D22" s="17" t="s">
        <v>30</v>
      </c>
      <c r="E22" s="21">
        <v>12317</v>
      </c>
      <c r="F22" s="21">
        <v>2561.02</v>
      </c>
      <c r="G22" s="21">
        <v>11874</v>
      </c>
      <c r="H22" s="21">
        <v>11019</v>
      </c>
      <c r="I22" s="21">
        <v>12300</v>
      </c>
      <c r="J22" s="31">
        <f t="shared" si="1"/>
        <v>3.5876705406771098E-2</v>
      </c>
    </row>
    <row r="23" spans="2:14" ht="12.75" customHeight="1" x14ac:dyDescent="0.35">
      <c r="B23" t="s">
        <v>31</v>
      </c>
      <c r="D23" s="17" t="s">
        <v>32</v>
      </c>
      <c r="E23" s="21">
        <v>2500</v>
      </c>
      <c r="F23" s="21">
        <v>2500</v>
      </c>
      <c r="G23" s="21">
        <v>169</v>
      </c>
      <c r="H23" s="21">
        <v>0</v>
      </c>
      <c r="I23" s="21">
        <v>500</v>
      </c>
      <c r="J23" s="31">
        <f t="shared" si="1"/>
        <v>1.9585798816568047</v>
      </c>
    </row>
    <row r="24" spans="2:14" ht="12.75" customHeight="1" x14ac:dyDescent="0.35">
      <c r="B24" t="s">
        <v>33</v>
      </c>
      <c r="D24" s="17" t="s">
        <v>34</v>
      </c>
      <c r="E24" s="21">
        <v>9000</v>
      </c>
      <c r="F24" s="21">
        <v>16229.52</v>
      </c>
      <c r="G24" s="21">
        <f>4400+5100+1600</f>
        <v>11100</v>
      </c>
      <c r="H24" s="21">
        <v>2580.6999999999998</v>
      </c>
      <c r="I24" s="21">
        <f>4400+5100+1600</f>
        <v>11100</v>
      </c>
      <c r="J24" s="31">
        <f t="shared" si="1"/>
        <v>0</v>
      </c>
    </row>
    <row r="25" spans="2:14" ht="12.75" customHeight="1" x14ac:dyDescent="0.35">
      <c r="B25" t="s">
        <v>35</v>
      </c>
      <c r="D25" s="17" t="s">
        <v>36</v>
      </c>
      <c r="E25" s="21">
        <v>1300</v>
      </c>
      <c r="F25" s="21">
        <v>1189</v>
      </c>
      <c r="G25" s="21">
        <v>1200</v>
      </c>
      <c r="H25" s="21">
        <v>612</v>
      </c>
      <c r="I25" s="21">
        <v>1200</v>
      </c>
      <c r="J25" s="31">
        <f t="shared" si="1"/>
        <v>0</v>
      </c>
    </row>
    <row r="26" spans="2:14" ht="12.75" customHeight="1" x14ac:dyDescent="0.35">
      <c r="B26" t="s">
        <v>37</v>
      </c>
      <c r="D26" s="17" t="s">
        <v>38</v>
      </c>
      <c r="E26" s="21">
        <v>1600</v>
      </c>
      <c r="F26" s="21">
        <v>2608.0300000000002</v>
      </c>
      <c r="G26" s="21">
        <v>1800</v>
      </c>
      <c r="H26" s="21">
        <v>5182.5</v>
      </c>
      <c r="I26" s="21">
        <v>2000</v>
      </c>
      <c r="J26" s="31">
        <f t="shared" si="1"/>
        <v>0.1111111111111111</v>
      </c>
    </row>
    <row r="27" spans="2:14" ht="12.75" customHeight="1" x14ac:dyDescent="0.35">
      <c r="B27" t="s">
        <v>39</v>
      </c>
      <c r="D27" s="17" t="s">
        <v>40</v>
      </c>
      <c r="E27" s="21">
        <v>25</v>
      </c>
      <c r="F27" s="21">
        <v>20.260000000000002</v>
      </c>
      <c r="G27" s="21">
        <v>20</v>
      </c>
      <c r="H27" s="21">
        <v>0</v>
      </c>
      <c r="I27" s="21">
        <v>25</v>
      </c>
      <c r="J27" s="31">
        <f t="shared" si="1"/>
        <v>0.25</v>
      </c>
    </row>
    <row r="28" spans="2:14" s="27" customFormat="1" ht="12.75" customHeight="1" x14ac:dyDescent="0.35">
      <c r="C28" s="28" t="s">
        <v>41</v>
      </c>
      <c r="E28" s="32">
        <f>SUM(E14:E27)</f>
        <v>40474.135999999999</v>
      </c>
      <c r="F28" s="32">
        <f>SUM(F14:F27)</f>
        <v>38567.79</v>
      </c>
      <c r="G28" s="33">
        <f>SUM(G14:G27)</f>
        <v>40920.399999999994</v>
      </c>
      <c r="H28" s="32">
        <f>SUM(H14:H27)</f>
        <v>26705.97</v>
      </c>
      <c r="I28" s="33">
        <f>SUM(I14:I27)</f>
        <v>42130</v>
      </c>
    </row>
    <row r="29" spans="2:14" ht="12.75" customHeight="1" x14ac:dyDescent="0.35">
      <c r="E29" s="34">
        <v>7.3599999999999999E-2</v>
      </c>
      <c r="F29" s="34"/>
      <c r="G29" s="34">
        <f>SUM(G28-E28)/E28</f>
        <v>1.1025905531374298E-2</v>
      </c>
      <c r="H29" s="35"/>
      <c r="I29" s="34">
        <f>SUM(I28-G28)/G28</f>
        <v>2.9559828349674147E-2</v>
      </c>
    </row>
    <row r="30" spans="2:14" ht="12.75" customHeight="1" x14ac:dyDescent="0.35"/>
    <row r="31" spans="2:14" x14ac:dyDescent="0.35">
      <c r="I31" s="36">
        <f>+I28-I10</f>
        <v>0</v>
      </c>
    </row>
  </sheetData>
  <mergeCells count="1">
    <mergeCell ref="C2:I2"/>
  </mergeCells>
  <printOptions horizontalCentered="1"/>
  <pageMargins left="0.7" right="0.7" top="0.75" bottom="0.75" header="0.3" footer="0.3"/>
  <pageSetup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2F096-A3F8-46AA-83F6-FDEE2E181159}">
  <sheetPr codeName="Sheet3"/>
  <dimension ref="A1:F30"/>
  <sheetViews>
    <sheetView workbookViewId="0">
      <selection activeCell="D38" sqref="D38"/>
    </sheetView>
  </sheetViews>
  <sheetFormatPr defaultColWidth="8.81640625" defaultRowHeight="14.5" x14ac:dyDescent="0.35"/>
  <cols>
    <col min="1" max="1" width="28" customWidth="1"/>
    <col min="2" max="13" width="14.453125" customWidth="1"/>
  </cols>
  <sheetData>
    <row r="1" spans="1:6" x14ac:dyDescent="0.35">
      <c r="A1" s="16" t="s">
        <v>46</v>
      </c>
      <c r="B1" s="16" t="s">
        <v>47</v>
      </c>
      <c r="C1" s="16"/>
      <c r="D1" s="17"/>
      <c r="E1" s="17"/>
      <c r="F1" s="17"/>
    </row>
    <row r="2" spans="1:6" x14ac:dyDescent="0.35">
      <c r="A2" s="18"/>
      <c r="B2" s="17"/>
      <c r="C2" s="17"/>
      <c r="D2" s="17"/>
      <c r="E2" s="17"/>
      <c r="F2" s="16"/>
    </row>
    <row r="3" spans="1:6" x14ac:dyDescent="0.35">
      <c r="A3" s="18"/>
      <c r="B3" s="19" t="s">
        <v>48</v>
      </c>
      <c r="C3" s="19" t="s">
        <v>48</v>
      </c>
      <c r="D3" s="19" t="s">
        <v>49</v>
      </c>
      <c r="E3" s="19" t="s">
        <v>49</v>
      </c>
      <c r="F3" s="19" t="s">
        <v>50</v>
      </c>
    </row>
    <row r="4" spans="1:6" x14ac:dyDescent="0.35">
      <c r="A4" s="17"/>
      <c r="B4" s="19" t="s">
        <v>2</v>
      </c>
      <c r="C4" s="19" t="s">
        <v>1</v>
      </c>
      <c r="D4" s="19" t="s">
        <v>2</v>
      </c>
      <c r="E4" s="19" t="s">
        <v>51</v>
      </c>
      <c r="F4" s="19" t="s">
        <v>52</v>
      </c>
    </row>
    <row r="5" spans="1:6" x14ac:dyDescent="0.35">
      <c r="A5" s="17"/>
      <c r="B5" s="17"/>
      <c r="C5" s="17"/>
      <c r="D5" s="17"/>
      <c r="E5" s="17"/>
      <c r="F5" s="16"/>
    </row>
    <row r="6" spans="1:6" x14ac:dyDescent="0.35">
      <c r="A6" s="20" t="s">
        <v>4</v>
      </c>
      <c r="B6" s="17"/>
      <c r="C6" s="17"/>
      <c r="D6" s="17"/>
      <c r="E6" s="17"/>
      <c r="F6" s="16"/>
    </row>
    <row r="7" spans="1:6" x14ac:dyDescent="0.35">
      <c r="A7" s="17" t="s">
        <v>53</v>
      </c>
      <c r="B7" s="21">
        <v>37500</v>
      </c>
      <c r="C7" s="21">
        <v>31312</v>
      </c>
      <c r="D7" s="21">
        <v>40174</v>
      </c>
      <c r="E7" s="21">
        <v>25684</v>
      </c>
      <c r="F7" s="22">
        <f>10153*4</f>
        <v>40612</v>
      </c>
    </row>
    <row r="8" spans="1:6" x14ac:dyDescent="0.35">
      <c r="A8" s="17" t="s">
        <v>54</v>
      </c>
      <c r="B8" s="21">
        <v>100</v>
      </c>
      <c r="C8" s="21">
        <v>378</v>
      </c>
      <c r="D8" s="21">
        <v>200</v>
      </c>
      <c r="E8" s="21">
        <v>330</v>
      </c>
      <c r="F8" s="22">
        <v>600</v>
      </c>
    </row>
    <row r="9" spans="1:6" x14ac:dyDescent="0.35">
      <c r="A9" s="17" t="s">
        <v>55</v>
      </c>
      <c r="B9" s="21">
        <v>0</v>
      </c>
      <c r="C9" s="21">
        <v>0</v>
      </c>
      <c r="D9" s="21">
        <v>0</v>
      </c>
      <c r="E9" s="21">
        <v>0</v>
      </c>
      <c r="F9" s="22">
        <v>0</v>
      </c>
    </row>
    <row r="10" spans="1:6" x14ac:dyDescent="0.35">
      <c r="A10" s="17" t="s">
        <v>56</v>
      </c>
      <c r="B10" s="23">
        <v>100</v>
      </c>
      <c r="C10" s="23">
        <v>0</v>
      </c>
      <c r="D10" s="23">
        <v>100</v>
      </c>
      <c r="E10" s="23">
        <v>0</v>
      </c>
      <c r="F10" s="24">
        <v>0</v>
      </c>
    </row>
    <row r="11" spans="1:6" x14ac:dyDescent="0.35">
      <c r="A11" s="20" t="s">
        <v>11</v>
      </c>
      <c r="B11" s="22">
        <f t="shared" ref="B11" si="0">SUM(B7:B10)</f>
        <v>37700</v>
      </c>
      <c r="C11" s="22">
        <f>SUM(C7:C10)</f>
        <v>31690</v>
      </c>
      <c r="D11" s="22">
        <f>SUM(D7:D10)</f>
        <v>40474</v>
      </c>
      <c r="E11" s="22">
        <f>SUM(E7:E10)</f>
        <v>26014</v>
      </c>
      <c r="F11" s="22">
        <f>SUM(F7:F10)</f>
        <v>41212</v>
      </c>
    </row>
    <row r="12" spans="1:6" x14ac:dyDescent="0.35">
      <c r="A12" s="20"/>
      <c r="B12" s="17"/>
      <c r="C12" s="17"/>
      <c r="D12" s="17"/>
      <c r="E12" s="17"/>
      <c r="F12" s="16"/>
    </row>
    <row r="13" spans="1:6" x14ac:dyDescent="0.35">
      <c r="A13" s="20"/>
      <c r="B13" s="17"/>
      <c r="C13" s="17"/>
      <c r="D13" s="17"/>
      <c r="E13" s="17"/>
      <c r="F13" s="16"/>
    </row>
    <row r="14" spans="1:6" x14ac:dyDescent="0.35">
      <c r="A14" s="20" t="s">
        <v>57</v>
      </c>
      <c r="B14" s="17"/>
      <c r="C14" s="17"/>
      <c r="D14" s="17"/>
      <c r="E14" s="17"/>
      <c r="F14" s="16"/>
    </row>
    <row r="15" spans="1:6" x14ac:dyDescent="0.35">
      <c r="A15" s="17" t="s">
        <v>58</v>
      </c>
      <c r="B15" s="21"/>
      <c r="C15" s="21"/>
      <c r="D15" s="21"/>
      <c r="E15" s="21"/>
      <c r="F15" s="22"/>
    </row>
    <row r="16" spans="1:6" x14ac:dyDescent="0.35">
      <c r="A16" s="17" t="s">
        <v>59</v>
      </c>
      <c r="B16" s="21">
        <v>9225</v>
      </c>
      <c r="C16" s="21">
        <v>9225</v>
      </c>
      <c r="D16" s="21">
        <v>9450</v>
      </c>
      <c r="E16" s="21">
        <v>5250</v>
      </c>
      <c r="F16" s="22">
        <f>9450*1.015</f>
        <v>9591.7499999999982</v>
      </c>
    </row>
    <row r="17" spans="1:6" x14ac:dyDescent="0.35">
      <c r="A17" s="17" t="s">
        <v>60</v>
      </c>
      <c r="B17" s="21">
        <v>2212</v>
      </c>
      <c r="C17" s="21">
        <v>2161</v>
      </c>
      <c r="D17" s="21">
        <v>2644</v>
      </c>
      <c r="E17" s="21">
        <v>1373</v>
      </c>
      <c r="F17" s="22">
        <v>2724</v>
      </c>
    </row>
    <row r="18" spans="1:6" x14ac:dyDescent="0.35">
      <c r="A18" s="17" t="s">
        <v>61</v>
      </c>
      <c r="B18" s="21">
        <f>B17*0.0765</f>
        <v>169.21799999999999</v>
      </c>
      <c r="C18" s="21">
        <v>157</v>
      </c>
      <c r="D18" s="21">
        <f>0.0765*D17</f>
        <v>202.26599999999999</v>
      </c>
      <c r="E18" s="21">
        <v>110</v>
      </c>
      <c r="F18" s="22">
        <f>0.0765*F17</f>
        <v>208.386</v>
      </c>
    </row>
    <row r="19" spans="1:6" x14ac:dyDescent="0.35">
      <c r="A19" s="17" t="s">
        <v>62</v>
      </c>
      <c r="B19" s="21">
        <f>B17*0.07</f>
        <v>154.84</v>
      </c>
      <c r="C19" s="21">
        <v>285</v>
      </c>
      <c r="D19" s="21">
        <v>194</v>
      </c>
      <c r="E19" s="21">
        <v>47</v>
      </c>
      <c r="F19" s="22">
        <f>F17*0.075</f>
        <v>204.29999999999998</v>
      </c>
    </row>
    <row r="20" spans="1:6" x14ac:dyDescent="0.35">
      <c r="A20" s="17" t="s">
        <v>63</v>
      </c>
      <c r="B20" s="21">
        <v>256</v>
      </c>
      <c r="C20" s="21">
        <v>196</v>
      </c>
      <c r="D20" s="21">
        <f>353.25+176.62</f>
        <v>529.87</v>
      </c>
      <c r="E20" s="21">
        <v>288</v>
      </c>
      <c r="F20" s="22">
        <v>997</v>
      </c>
    </row>
    <row r="21" spans="1:6" x14ac:dyDescent="0.35">
      <c r="A21" s="17" t="s">
        <v>64</v>
      </c>
      <c r="B21" s="21">
        <v>30</v>
      </c>
      <c r="C21" s="21">
        <v>24</v>
      </c>
      <c r="D21" s="21">
        <v>30</v>
      </c>
      <c r="E21" s="21">
        <v>16</v>
      </c>
      <c r="F21" s="22">
        <f>F17*0.011</f>
        <v>29.963999999999999</v>
      </c>
    </row>
    <row r="22" spans="1:6" x14ac:dyDescent="0.35">
      <c r="A22" s="17" t="s">
        <v>65</v>
      </c>
      <c r="B22" s="21">
        <v>500</v>
      </c>
      <c r="C22" s="21">
        <v>484</v>
      </c>
      <c r="D22" s="21">
        <v>500</v>
      </c>
      <c r="E22" s="21">
        <v>705</v>
      </c>
      <c r="F22" s="22">
        <v>800</v>
      </c>
    </row>
    <row r="23" spans="1:6" x14ac:dyDescent="0.35">
      <c r="A23" s="17" t="s">
        <v>66</v>
      </c>
      <c r="B23" s="21">
        <v>165</v>
      </c>
      <c r="C23" s="21">
        <v>179</v>
      </c>
      <c r="D23" s="21">
        <v>182</v>
      </c>
      <c r="E23" s="21">
        <v>181</v>
      </c>
      <c r="F23" s="22">
        <v>202</v>
      </c>
    </row>
    <row r="24" spans="1:6" x14ac:dyDescent="0.35">
      <c r="A24" s="17" t="s">
        <v>67</v>
      </c>
      <c r="B24" s="21">
        <v>8000</v>
      </c>
      <c r="C24" s="21">
        <v>11773</v>
      </c>
      <c r="D24" s="21">
        <v>9000</v>
      </c>
      <c r="E24" s="21">
        <v>2606</v>
      </c>
      <c r="F24" s="22">
        <f>4400+5100+1600</f>
        <v>11100</v>
      </c>
    </row>
    <row r="25" spans="1:6" x14ac:dyDescent="0.35">
      <c r="A25" s="17" t="s">
        <v>68</v>
      </c>
      <c r="B25" s="21">
        <v>1300</v>
      </c>
      <c r="C25" s="21">
        <v>1174</v>
      </c>
      <c r="D25" s="21">
        <v>1300</v>
      </c>
      <c r="E25" s="21">
        <v>577</v>
      </c>
      <c r="F25" s="22">
        <v>1200</v>
      </c>
    </row>
    <row r="26" spans="1:6" x14ac:dyDescent="0.35">
      <c r="A26" s="17" t="s">
        <v>69</v>
      </c>
      <c r="B26" s="21">
        <v>1600</v>
      </c>
      <c r="C26" s="21">
        <v>2123</v>
      </c>
      <c r="D26" s="21">
        <v>1600</v>
      </c>
      <c r="E26" s="21">
        <v>873</v>
      </c>
      <c r="F26" s="22">
        <v>1800</v>
      </c>
    </row>
    <row r="27" spans="1:6" x14ac:dyDescent="0.35">
      <c r="A27" s="17" t="s">
        <v>70</v>
      </c>
      <c r="B27" s="21">
        <v>12336</v>
      </c>
      <c r="C27" s="21">
        <v>12323</v>
      </c>
      <c r="D27" s="21">
        <v>12317</v>
      </c>
      <c r="E27" s="21">
        <v>10193</v>
      </c>
      <c r="F27" s="22">
        <v>11874</v>
      </c>
    </row>
    <row r="28" spans="1:6" x14ac:dyDescent="0.35">
      <c r="A28" s="17" t="s">
        <v>71</v>
      </c>
      <c r="B28" s="21">
        <v>1702</v>
      </c>
      <c r="C28" s="21">
        <v>1702</v>
      </c>
      <c r="D28" s="21">
        <v>2500</v>
      </c>
      <c r="E28" s="21">
        <v>0</v>
      </c>
      <c r="F28" s="22">
        <v>481</v>
      </c>
    </row>
    <row r="29" spans="1:6" x14ac:dyDescent="0.35">
      <c r="A29" s="17" t="s">
        <v>72</v>
      </c>
      <c r="B29" s="23">
        <v>50</v>
      </c>
      <c r="C29" s="23">
        <v>0</v>
      </c>
      <c r="D29" s="23">
        <v>25</v>
      </c>
      <c r="E29" s="23">
        <v>13</v>
      </c>
      <c r="F29" s="24">
        <v>0</v>
      </c>
    </row>
    <row r="30" spans="1:6" x14ac:dyDescent="0.35">
      <c r="A30" s="20" t="s">
        <v>73</v>
      </c>
      <c r="B30" s="22">
        <f>SUM(B16:B29)</f>
        <v>37700.058000000005</v>
      </c>
      <c r="C30" s="22">
        <f>SUM(C16:C29)</f>
        <v>41806</v>
      </c>
      <c r="D30" s="22">
        <f>SUM(D16:D29)</f>
        <v>40474.135999999999</v>
      </c>
      <c r="E30" s="22">
        <f>SUM(E16:E29)</f>
        <v>22232</v>
      </c>
      <c r="F30" s="22">
        <f>SUM(F16:F29)</f>
        <v>41212.399999999994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A1AF2C05F19243A4D3D7E94643FB1D" ma:contentTypeVersion="13" ma:contentTypeDescription="Create a new document." ma:contentTypeScope="" ma:versionID="fadfe4da55c0aacdc15b0d0c8929fe3a">
  <xsd:schema xmlns:xsd="http://www.w3.org/2001/XMLSchema" xmlns:xs="http://www.w3.org/2001/XMLSchema" xmlns:p="http://schemas.microsoft.com/office/2006/metadata/properties" xmlns:ns3="7879bf6f-4a34-452c-8c43-8c05a08b44c0" xmlns:ns4="5f7b07f6-3b96-4785-a201-d435dc128729" targetNamespace="http://schemas.microsoft.com/office/2006/metadata/properties" ma:root="true" ma:fieldsID="56219f612382ba32cb4220b96b6deb9f" ns3:_="" ns4:_="">
    <xsd:import namespace="7879bf6f-4a34-452c-8c43-8c05a08b44c0"/>
    <xsd:import namespace="5f7b07f6-3b96-4785-a201-d435dc1287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79bf6f-4a34-452c-8c43-8c05a08b44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b07f6-3b96-4785-a201-d435dc12872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CA3001-2E8C-4C49-BE2F-9A5C134772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5DE7E7-F331-4D71-A262-3AF4BA8F2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79bf6f-4a34-452c-8c43-8c05a08b44c0"/>
    <ds:schemaRef ds:uri="5f7b07f6-3b96-4785-a201-d435dc1287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85435E-1D47-45B9-8603-44A97E5ADE2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879bf6f-4a34-452c-8c43-8c05a08b44c0"/>
    <ds:schemaRef ds:uri="5f7b07f6-3b96-4785-a201-d435dc12872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FY2023-FY2024</vt:lpstr>
      <vt:lpstr>FY2022-FY2023</vt:lpstr>
      <vt:lpstr>FY2021-FY2022</vt:lpstr>
      <vt:lpstr>FY22 Approved</vt:lpstr>
      <vt:lpstr>FY2020-FY2021</vt:lpstr>
      <vt:lpstr>FY2018-FY2020</vt:lpstr>
      <vt:lpstr>FY2017-FY2019</vt:lpstr>
      <vt:lpstr>FY2016-FY2018</vt:lpstr>
      <vt:lpstr>'FY2017-FY2019'!Print_Area</vt:lpstr>
      <vt:lpstr>'FY2018-FY2020'!Print_Area</vt:lpstr>
      <vt:lpstr>'FY2020-FY2021'!Print_Area</vt:lpstr>
      <vt:lpstr>'FY2021-FY2022'!Print_Area</vt:lpstr>
      <vt:lpstr>'FY2022-FY2023'!Print_Area</vt:lpstr>
      <vt:lpstr>'FY2023-FY2024'!Print_Area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Bristol Town Administrator;Jill Marsano</dc:creator>
  <cp:lastModifiedBy>Bristol Town Administrator</cp:lastModifiedBy>
  <cp:lastPrinted>2023-05-18T17:32:39Z</cp:lastPrinted>
  <dcterms:created xsi:type="dcterms:W3CDTF">2020-01-30T19:50:01Z</dcterms:created>
  <dcterms:modified xsi:type="dcterms:W3CDTF">2023-05-22T15:25:38Z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0x010100C4A1AF2C05F19243A4D3D7E94643FB1D</vt:lpwstr>
  </property>
</Properties>
</file>